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<sst xmlns="http://schemas.openxmlformats.org/spreadsheetml/2006/main" count="387" uniqueCount="354">
  <si>
    <t>POLUGODIŠNJI IZVJEŠTAJ O IZVRŠENJU PRORAČUNA OPĆINE GORNJI BOGIĆEVCI</t>
  </si>
  <si>
    <t>ZA 2023. GODINU</t>
  </si>
  <si>
    <t>Članak 1</t>
  </si>
  <si>
    <t>Donosi se Polugodišnji izvještaj o izvršenju proračuna općine Gornji Bogićevci za 2023.godinu</t>
  </si>
  <si>
    <t>Članak 2</t>
  </si>
  <si>
    <t>U prvom polugodištu 2023.godine ostvareno je kako slijedi:</t>
  </si>
  <si>
    <t>POLUGODIŠ. IZVRŠENJE 2022.</t>
  </si>
  <si>
    <t>GODIŠNJI PLAN 2023</t>
  </si>
  <si>
    <t>POLUGODIŠNJE  IZVRŠENJE 2023.</t>
  </si>
  <si>
    <t>INDEKS 3/1</t>
  </si>
  <si>
    <t>INDEKS 3/2</t>
  </si>
  <si>
    <t>A. RAČUN PRIHODA I RASHODA</t>
  </si>
  <si>
    <t>Prihodi</t>
  </si>
  <si>
    <t>Rashodi</t>
  </si>
  <si>
    <t>Razlika - višak / manjak</t>
  </si>
  <si>
    <t>B. RAČUN FINANCIRANJA</t>
  </si>
  <si>
    <t>Primitci</t>
  </si>
  <si>
    <t>Izdatci</t>
  </si>
  <si>
    <t>C. VIŠAK / MANJAK IZ PRETHODNIH GODINA</t>
  </si>
  <si>
    <t>Višak / manjak iz prethodnih godina</t>
  </si>
  <si>
    <t>Višak / manjak raspoloživ/za pokriće u slijedećem razdoblju</t>
  </si>
  <si>
    <t>Članak 3</t>
  </si>
  <si>
    <t xml:space="preserve">             Ostvaren je višak prihoda nad rashodima u iznosu od </t>
  </si>
  <si>
    <t xml:space="preserve">eur. </t>
  </si>
  <si>
    <t>Članak 4</t>
  </si>
  <si>
    <t>I   OPĆI DIO PRORAČUNA</t>
  </si>
  <si>
    <t>Prihodi i primitci, te rashodi i izdatci po skupinama i podskupinama ostvareni su kakoslijedi:</t>
  </si>
  <si>
    <t>TABLICA A.</t>
  </si>
  <si>
    <t>PRIHODI</t>
  </si>
  <si>
    <t>SVEUKUPNO PRIHODI I PRIMITCI</t>
  </si>
  <si>
    <t>BROJ KONTA</t>
  </si>
  <si>
    <t>VRSTA PRIHODA</t>
  </si>
  <si>
    <t>INDEKS PREMA 2022.</t>
  </si>
  <si>
    <t>INDEKS PREMA GODIŠNJEM PLANU 2023.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</si>
  <si>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</si>
  <si>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</si>
  <si>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</si>
  <si>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</si>
  <si>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</si>
  <si>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 države</t>
  </si>
  <si>
    <t xml:space="preserve">Pomoći iz proračuna </t>
  </si>
  <si>
    <t>Kompenzacijska sredstva</t>
  </si>
  <si>
    <t>Kapitalne pomoći iz proračuna</t>
  </si>
  <si>
    <t>Pomoći od ostalih subjekata unutar opće države</t>
  </si>
  <si>
    <t>Tekuće pomoći od HZZ-a -javni radovi</t>
  </si>
  <si>
    <t>Pomoći proračunskim korisnicima iz proračuna koji im nije nadležan</t>
  </si>
  <si>
    <t>Tekuće pomoći pror.korisnicima od nadležnih proračuna</t>
  </si>
  <si>
    <t>Tekuće pomoći iz županijskog i dr.pror. JLPRS koji im nije nadležan</t>
  </si>
  <si>
    <t>Kapitalne pomoći iz državnog pror. Korisnicia od nenadležnih pror</t>
  </si>
  <si>
    <t>Kapitalne pomoći iz županijskog pror. Korisnicima od nenadlež. Pror</t>
  </si>
  <si>
    <t>Pomoći iz drž.proračuna temeljem peijenosa sredstava EU</t>
  </si>
  <si>
    <t>Tekuće pomoći temeljem EU sredstava (javni radovi)</t>
  </si>
  <si>
    <t>Prihodi od imovine</t>
  </si>
  <si>
    <t>Prihodi od financijske imovine</t>
  </si>
  <si>
    <t>Prihodi od financijske imovine KNJIŽNICA</t>
  </si>
  <si>
    <t>Prihodi od nefinancijske imovine</t>
  </si>
  <si>
    <t>Prihodi od zakupa i iznajmljivanja imovine</t>
  </si>
  <si>
    <t>Prihodi od zakupa nekretnina i ost.imovine općine</t>
  </si>
  <si>
    <t>Prihodi od prodaje kratkotrajne nef.im.</t>
  </si>
  <si>
    <t>Prihodi od zakupa poljoprivrednog zemljišta</t>
  </si>
  <si>
    <t>Naknada za korištenje nefinancijske imovine</t>
  </si>
  <si>
    <t>Ostali prihodi od nefinancijske imovine</t>
  </si>
  <si>
    <t>Naknada za zadržavanje nezakon. Izgrađ.</t>
  </si>
  <si>
    <t>Prihodi od administrativnih pristojbi i po posebnim propisima</t>
  </si>
  <si>
    <t>Administrativne upravne pristojbe</t>
  </si>
  <si>
    <t xml:space="preserve">Troškovi ovršnog postupka </t>
  </si>
  <si>
    <t>Ostale upraqvne pristojbe-državni biljezi</t>
  </si>
  <si>
    <t>Ostale nakn.i prist.za posebne namjene-grobarine i ostalo</t>
  </si>
  <si>
    <t>Prihodi po posebnim propisima</t>
  </si>
  <si>
    <t>Vodni doprinos (udio 8% Zakon o financ.vodnog gospodars.)</t>
  </si>
  <si>
    <t>Doprinosi za šume</t>
  </si>
  <si>
    <t>Sufinanciranje cijene usluge participacije</t>
  </si>
  <si>
    <t>Ostali nespomenuti prihodi-računovodstvo knjižnice</t>
  </si>
  <si>
    <t xml:space="preserve">Komunalni doprinosi i naknade </t>
  </si>
  <si>
    <t>Komunalni doprinosi</t>
  </si>
  <si>
    <t>Komunalne naknade</t>
  </si>
  <si>
    <t>Prihodi koje Proračuni ostvare obavljanjem osn.djel.</t>
  </si>
  <si>
    <t>Prihodi od usluga održavanja površina vjerskih zajednica</t>
  </si>
  <si>
    <t>Prihodi od obavlj. osnovnih posl.vlas.djelat.-usluge općine</t>
  </si>
  <si>
    <t xml:space="preserve">Donacije od pravnih i fizičkih osoba </t>
  </si>
  <si>
    <t>Kapitalne donacije od trgovačkih društava -knjižnica</t>
  </si>
  <si>
    <t xml:space="preserve">Kazne, upravne mjere i ostali prihodi </t>
  </si>
  <si>
    <t>Kazne i upravne mjere</t>
  </si>
  <si>
    <t>Ostali prihodi-PENALI</t>
  </si>
  <si>
    <t>Ostali prihodi-po Rješenju kom redara</t>
  </si>
  <si>
    <t>PRIHODI OD PRODAJE NEFINANCIJSKE IMOVINE</t>
  </si>
  <si>
    <t>Prihodi od prodaje neproizvedene imovine</t>
  </si>
  <si>
    <t>Prihodi od prodaje materijalne imovine - prirodnoh bogatstava</t>
  </si>
  <si>
    <t>Zemljište</t>
  </si>
  <si>
    <t>Prihodi od prodaje proizvedene dugotr.imovine</t>
  </si>
  <si>
    <t>Prihodi od prodaje građevinskih objekata</t>
  </si>
  <si>
    <t>Prihodi od prodaje postrojenja i opreme</t>
  </si>
  <si>
    <t>Oprema za  održavanje i zaštitu</t>
  </si>
  <si>
    <t>PRIMITCI OD FINANCIJSKE IMOVINE I ZADUŽIVANJA</t>
  </si>
  <si>
    <t>Primici od prodaje dionica i udjela u glavnici</t>
  </si>
  <si>
    <t>Primitci od zaduživanja</t>
  </si>
  <si>
    <t>Primljeni zajmovi od državnog proračuna kratkoročni</t>
  </si>
  <si>
    <t>RASHODI</t>
  </si>
  <si>
    <t>SVEUKUPNO RASHODI I IZDATCI</t>
  </si>
  <si>
    <t>VRSTA RASHODA</t>
  </si>
  <si>
    <t>GODIŠNJI PLAN 2023.</t>
  </si>
  <si>
    <t>RASHODI POSLOVANJA</t>
  </si>
  <si>
    <t>Rashodi za zaposlene</t>
  </si>
  <si>
    <t>Plaće</t>
  </si>
  <si>
    <t>Plaće za redovan rad stalnih djelatnika</t>
  </si>
  <si>
    <t>Plaća knjižnica</t>
  </si>
  <si>
    <t>Plaća Javni radovi</t>
  </si>
  <si>
    <t>VSNM -Plaće</t>
  </si>
  <si>
    <t>Ostali rashodi za zaposlene</t>
  </si>
  <si>
    <t>Ostali rashodi za zaposlene KNJIŽNICA</t>
  </si>
  <si>
    <t>Doprinosi na plaće</t>
  </si>
  <si>
    <t>Doprinosi na plaće -redovni zaposlenici</t>
  </si>
  <si>
    <t>Dop.na plaće -knjižnica</t>
  </si>
  <si>
    <t>Dop.na plaće -Javni radovi</t>
  </si>
  <si>
    <t>Dop.na plaće- VSNM</t>
  </si>
  <si>
    <t>Materijalni rashodi</t>
  </si>
  <si>
    <t>Naknade troškova zaposlenima</t>
  </si>
  <si>
    <t>Službena putovanja</t>
  </si>
  <si>
    <t>Službena putovanja -knjižnica</t>
  </si>
  <si>
    <t>Stručno usavršavanje zaposlenika</t>
  </si>
  <si>
    <t>Stručno usavršavanje zaposlenika -knjižnica</t>
  </si>
  <si>
    <t>Ostale naknade troškova zaposlenicima</t>
  </si>
  <si>
    <t>Ostale naknade troškova zaposlenicima-knjižnica</t>
  </si>
  <si>
    <t>Naknada za prijevoz na posao i s posla</t>
  </si>
  <si>
    <t>Službena putovanja VSNM</t>
  </si>
  <si>
    <t>Rashodi za materijal i energiju</t>
  </si>
  <si>
    <t>Uredski materijal i ostali materijalni rashodi</t>
  </si>
  <si>
    <t>Uredski materijal i ostali materijalni rashodi -knjižnica</t>
  </si>
  <si>
    <t xml:space="preserve">Energija: električna en., javna rasvjeta, plin, benzin, diesel </t>
  </si>
  <si>
    <t>Energija: električna en., javna rasvjeta, plin, benzin, diesel-knjižnica</t>
  </si>
  <si>
    <t>Materijal i djelovi za tekuće i inv. održ.</t>
  </si>
  <si>
    <t>Materijal i djelovi za tekuće i inv. održ.- knjižnica</t>
  </si>
  <si>
    <t>VSNM -energija</t>
  </si>
  <si>
    <t>Uredski materijal-VSNM</t>
  </si>
  <si>
    <t>Sitni inventar i auto gume</t>
  </si>
  <si>
    <t>Sitni inventar i auto gume -knjižnica</t>
  </si>
  <si>
    <t>Službena radna i zaštitna odjeća i obuća</t>
  </si>
  <si>
    <t>Rashodi za usluge</t>
  </si>
  <si>
    <t>Usluge telefona, pošte i prijevoza</t>
  </si>
  <si>
    <t>Izmještanje dalekovoda</t>
  </si>
  <si>
    <t>Usluge telefona, pošte i prijevoza -knjižnica</t>
  </si>
  <si>
    <t>Usluge tekućeg i investicijskog održavanja</t>
  </si>
  <si>
    <t>Usluge tekućeg i investicijskog održavanja -knjižnica</t>
  </si>
  <si>
    <t>Usluge promidžbe i informiranja</t>
  </si>
  <si>
    <t>Usluge promidžbe i informiranja-knjižžnica</t>
  </si>
  <si>
    <t>Telefon,pošta VSNM</t>
  </si>
  <si>
    <t>Komunalne usluge</t>
  </si>
  <si>
    <t>Komunalne usluge-knjižnica</t>
  </si>
  <si>
    <t>Zdravstvene i vet usluge</t>
  </si>
  <si>
    <t>Intelektualne i osobne usluge</t>
  </si>
  <si>
    <t>Ugovori o djelu</t>
  </si>
  <si>
    <t>Računalne usluge</t>
  </si>
  <si>
    <t>Ostale usluge ( naplata 1% tehn.preg.vozila, grafičke i tiskarske usl., javni bilježnik..)</t>
  </si>
  <si>
    <t>Naknada za energetsku uslugu</t>
  </si>
  <si>
    <t>Naknada troškova osobama izvan radnog odnosa</t>
  </si>
  <si>
    <t>Naknada troškova osobama izvan radnog odnosa-vjećnici putni troškovi</t>
  </si>
  <si>
    <t>Ostali nespomenuti rashodi poslovanja</t>
  </si>
  <si>
    <t>Naknade za rad predstavničkih i izvršnih tijela, povjeren. i sl.</t>
  </si>
  <si>
    <t>VSNM-reprezentacija</t>
  </si>
  <si>
    <t>Premije osiguranja</t>
  </si>
  <si>
    <t>Reprezentacija</t>
  </si>
  <si>
    <t>Članarine</t>
  </si>
  <si>
    <t>Pristojbe i naknade</t>
  </si>
  <si>
    <t>POLUGODIŠ. IZVRŠENJE 2021.</t>
  </si>
  <si>
    <t>GODIŠNJI PLAN 2022.</t>
  </si>
  <si>
    <t>Ostali rashodi poslovanja ( vijenci, HRT, Fina e-kartica i sl..)</t>
  </si>
  <si>
    <t>Političke stranke i izbori</t>
  </si>
  <si>
    <t>Civilna zaštita</t>
  </si>
  <si>
    <t>Dan Općine</t>
  </si>
  <si>
    <t>Računovodstvo knjižnice</t>
  </si>
  <si>
    <t>Sjećanje na Dom.rat</t>
  </si>
  <si>
    <t>Porezna uprava 5% od prihoda</t>
  </si>
  <si>
    <t>VSNM-kulturne manifestacije</t>
  </si>
  <si>
    <t>Kulturne manifestacije knjižnice</t>
  </si>
  <si>
    <t>Financijski rashodi</t>
  </si>
  <si>
    <t>Kamate za primljene zajmove</t>
  </si>
  <si>
    <t xml:space="preserve">Kamate za primljene zajmove </t>
  </si>
  <si>
    <t>Ostali financijski rashodi</t>
  </si>
  <si>
    <t>Bankarske usluge i usluge platnog prometa</t>
  </si>
  <si>
    <t>Financijski rashodi  -knjižnica</t>
  </si>
  <si>
    <t>Financijski rashodi-VSNM</t>
  </si>
  <si>
    <t>Negativne tečajne razlike</t>
  </si>
  <si>
    <t>Zatezne kamate</t>
  </si>
  <si>
    <t>Subvencije trg. Dr., poljoprivrednicima, obrtima,…</t>
  </si>
  <si>
    <t>Subv. Poljop. Obrtnicima, malim i sred. Poduzetnicima</t>
  </si>
  <si>
    <t>Pomoći dane u inozemstvo i unutar općeg proračuna</t>
  </si>
  <si>
    <t>Pomoći dane unutar općeg proračuna</t>
  </si>
  <si>
    <t>Tekuće pomoći općinskim proračunima- KOMUNALNI REDAR</t>
  </si>
  <si>
    <t>Pomoći proračunskim korisnicima drugih proračuna</t>
  </si>
  <si>
    <t>Tekuće pomoći unutar opće države(DJEČIJI VRTIĆ)</t>
  </si>
  <si>
    <t>Prijenosi pror.korisnicima za rashode poslovanja</t>
  </si>
  <si>
    <t>Nakn. građ. i kućanstvima na temelju osiguranja i druge naknade</t>
  </si>
  <si>
    <t>Ostale naknade građanima i kućanstvima iz proračuna</t>
  </si>
  <si>
    <t>Naknade građanima i kućanstvima u novcu</t>
  </si>
  <si>
    <t>Jednokratne pomoći studentima</t>
  </si>
  <si>
    <t>Opremanje novorođenčeta</t>
  </si>
  <si>
    <t>Ostale pomoći u novcu</t>
  </si>
  <si>
    <t>VSNM-jednokratne pomoći</t>
  </si>
  <si>
    <t>Sufinanciranje prijevoza srednjoškolaca</t>
  </si>
  <si>
    <t>Stanovanje</t>
  </si>
  <si>
    <t xml:space="preserve">Ostale naknade građanima i kućanstvima u naravi </t>
  </si>
  <si>
    <t>Sufinanciranje boravka djece u vrtiću</t>
  </si>
  <si>
    <t>Kupnja udžbenika učenicima 1-8 razreda</t>
  </si>
  <si>
    <t>Ostali rashodi</t>
  </si>
  <si>
    <t>Tekuće donacije</t>
  </si>
  <si>
    <t>Tekuće donacije u novcu</t>
  </si>
  <si>
    <t>Vjeće srpske nacionalne manjine</t>
  </si>
  <si>
    <t>KUD Starča</t>
  </si>
  <si>
    <t>Udr. Za ruralni razvoj "Naša sela"</t>
  </si>
  <si>
    <t>Udr. Umirovljenika općine</t>
  </si>
  <si>
    <t>UDVDR G. Bogićevci</t>
  </si>
  <si>
    <t>Udruga žena LAN GB</t>
  </si>
  <si>
    <t>NK Sloboda</t>
  </si>
  <si>
    <t>ŠK Bedem</t>
  </si>
  <si>
    <t>LU Sokol</t>
  </si>
  <si>
    <t>LU Šljuka</t>
  </si>
  <si>
    <t>DŠR G. BOGIĆEVCI</t>
  </si>
  <si>
    <t>STK GORNJI BOGIĆEVCI</t>
  </si>
  <si>
    <t>HR Bljesak</t>
  </si>
  <si>
    <t>DVD G. Bogićevci</t>
  </si>
  <si>
    <t>Crveni križ</t>
  </si>
  <si>
    <t>Tekuće pomoći PŠ GB i Smrtić</t>
  </si>
  <si>
    <t>Ostale tek. Donacije udrugama</t>
  </si>
  <si>
    <t>Tekuće donacije u naravi</t>
  </si>
  <si>
    <t>Tekuće donacije u naravi-košenje javni površ. Katoličke crkve</t>
  </si>
  <si>
    <t>Tekuće donacije u naravi-košenje javni površ. Pravoslavne crkve</t>
  </si>
  <si>
    <t>Kapitalne donacije</t>
  </si>
  <si>
    <t>Kapitalne donacije neprofitnim organizacijama</t>
  </si>
  <si>
    <t>Kapitalne donacije zdravstvenim i neprofitnim  organizacijama-bolnica NG</t>
  </si>
  <si>
    <t>Vjerske zajednice - srpska pravoslavna crkva</t>
  </si>
  <si>
    <t>Vjerske zajednice - RMK Župa Duha svetog</t>
  </si>
  <si>
    <t>Srpka pravoslavna crkva</t>
  </si>
  <si>
    <t>Kapitalna potpora LU Sokol za dovršetak lovačke kuće</t>
  </si>
  <si>
    <t>Područne škole</t>
  </si>
  <si>
    <t>Kapitalne donacije građanima i kućanstvima</t>
  </si>
  <si>
    <t>Ostale kap. Don.građanima i kuć.-rješavanje stambenog pitanja</t>
  </si>
  <si>
    <t>Izvanredni rashodi</t>
  </si>
  <si>
    <t>Nepredviđeni rashodi do visine proračunske pričuve</t>
  </si>
  <si>
    <t>Kapitalne pomoći</t>
  </si>
  <si>
    <t>Kapitalne pomoći trgovačkim društvima ( Odlagalište)</t>
  </si>
  <si>
    <t>RASHODI ZA NABAVU NEFINANCIJSKE IMOVINE</t>
  </si>
  <si>
    <t>Rashodi za nabavu neproizvedene imovine</t>
  </si>
  <si>
    <t>Materijalna imovina - prirodna bogatstva</t>
  </si>
  <si>
    <t>Nematerijalna imovina</t>
  </si>
  <si>
    <t>Ulaganja na tuđoj im.radi prava korištenja- Utvrda BEDEM</t>
  </si>
  <si>
    <t>Rashodi za nabavu proizvedene dugotrajne imovine</t>
  </si>
  <si>
    <t>Građevinski objekti</t>
  </si>
  <si>
    <t>SRC Brezine( gradnja-temelji 2022)</t>
  </si>
  <si>
    <t>Izgradnja mosta na potoku Draževac</t>
  </si>
  <si>
    <t>Odvojak groblje Koosvac</t>
  </si>
  <si>
    <t>Odvojak  Koosvac STROLENI</t>
  </si>
  <si>
    <t>Odvojak  groblje Trnava</t>
  </si>
  <si>
    <t>Odvojak   Trnava 50m</t>
  </si>
  <si>
    <t>Odvojak   Trnava 40m</t>
  </si>
  <si>
    <t>Odvojak Smrtić-J. Knežević</t>
  </si>
  <si>
    <t>Odvojak Smrtić-Gb-crna polja II</t>
  </si>
  <si>
    <t>Cesta Karlovac-novi dio groblja</t>
  </si>
  <si>
    <t>Odvojak igralište Ratkovac +ograda</t>
  </si>
  <si>
    <t>odvojak prema mrtvačnivi GB+ plato</t>
  </si>
  <si>
    <t>Ostali građevinski objekti</t>
  </si>
  <si>
    <t>Hrvatski seljački dom GB</t>
  </si>
  <si>
    <t>Klubana NK Sloboda</t>
  </si>
  <si>
    <t>DOM DUBOVAC</t>
  </si>
  <si>
    <t>Okoliš oko doma Dubovac</t>
  </si>
  <si>
    <t>Dom Trnava(2022 strop i zvučna izolacija)</t>
  </si>
  <si>
    <t>Parkiralište i ograda kod doma Trnava</t>
  </si>
  <si>
    <t>Dom Smrtić</t>
  </si>
  <si>
    <t>Društveni dom Kosovac</t>
  </si>
  <si>
    <t>Sportsko-rekreacijski centar</t>
  </si>
  <si>
    <t>Semafor Gornji Bogićevci</t>
  </si>
  <si>
    <t>Uređenje groblja GB (staze stari i novi dio)</t>
  </si>
  <si>
    <t>VSNM spomenik</t>
  </si>
  <si>
    <t>Javna rasvjeta-modernizacija</t>
  </si>
  <si>
    <t xml:space="preserve">Centar općine </t>
  </si>
  <si>
    <t>Fotonaponska elektrana</t>
  </si>
  <si>
    <t>Zadruga Brezine</t>
  </si>
  <si>
    <t>Poduzetnički inkubator (2022 dokumentacija)</t>
  </si>
  <si>
    <t>Javna rasvjeta-Poduzetnička zona Brezine</t>
  </si>
  <si>
    <t>Mrtvačnica Smrtić</t>
  </si>
  <si>
    <t>Postrojenja i oprema</t>
  </si>
  <si>
    <t>422…</t>
  </si>
  <si>
    <t>Oprema knjižnice</t>
  </si>
  <si>
    <t>Oprema Komunalnog pogona</t>
  </si>
  <si>
    <t>Uredska oprema i namjestaj</t>
  </si>
  <si>
    <t>uređaji strojevi i oprema za ostale namjene</t>
  </si>
  <si>
    <t>Prijevozna sredstva</t>
  </si>
  <si>
    <t>Prijevozna sredstva u cestovnom prometu-traktor</t>
  </si>
  <si>
    <t>Višegodišnji nasadi i osnovno stado</t>
  </si>
  <si>
    <t>Knjige u knjižnicama</t>
  </si>
  <si>
    <t>Nematerijalna proizvedena imovina</t>
  </si>
  <si>
    <t>Knjižnični računalni softver</t>
  </si>
  <si>
    <t xml:space="preserve">Vijećnica- video soba </t>
  </si>
  <si>
    <t>Izrada implementacije GIS sustava općine GB</t>
  </si>
  <si>
    <t>Implementacija ePisarnice za digitalno urudžbiranje predmeta i dokumenata</t>
  </si>
  <si>
    <t>Dodatna ulaganje na građ.ojekt. JAVNA RASVJETA</t>
  </si>
  <si>
    <t>Rashodi za dodatna ulaganja na nefinancijskoj imovini</t>
  </si>
  <si>
    <t>Dodatna ulaganja na građevinskim objektima</t>
  </si>
  <si>
    <t>Dodatna ulaganja na građevinskim ovjektima-Javna rasvjeta</t>
  </si>
  <si>
    <t>IZDATCI ZA FINANCIJSKU IM. I POVRAT ZAJMOVA</t>
  </si>
  <si>
    <t>Otplata glavnice primljenih zajmova</t>
  </si>
  <si>
    <t>Otplata glavnice primljenih kratkoročnih zajmova</t>
  </si>
  <si>
    <t>VLASTITI IZVORI</t>
  </si>
  <si>
    <t>Višak  prihoda</t>
  </si>
  <si>
    <t>Manjak prihoda nad rashodima/korištenje prenešenog viška iz predhodnih godina</t>
  </si>
  <si>
    <t>RAČUN FINANCIRANJA</t>
  </si>
  <si>
    <r>
      <t xml:space="preserve">  Temeljem članka 42. i 45.Zakona o proračunu("Narodne novine"br.144/21) i članka 39. stavak 5.Statuta općine Gornji Bogićevci ("Službeni glasnik općine Gornji Bogićevci br. 02/21), vijeće općine Gornji Bogićevci  na</t>
    </r>
    <r>
      <rPr>
        <sz val="10"/>
        <color theme="1"/>
        <rFont val="Arial"/>
        <family val="2"/>
      </rPr>
      <t xml:space="preserve">  14</t>
    </r>
    <r>
      <rPr>
        <sz val="10"/>
        <color rgb="FFFF0000"/>
        <rFont val="Arial"/>
        <family val="2"/>
      </rPr>
      <t xml:space="preserve">. </t>
    </r>
    <r>
      <rPr>
        <sz val="10"/>
        <color theme="1"/>
        <rFont val="Arial"/>
        <family val="2"/>
      </rPr>
      <t>sjednici održanoj</t>
    </r>
    <r>
      <rPr>
        <sz val="10"/>
        <rFont val="Arial"/>
        <family val="2"/>
      </rPr>
      <t xml:space="preserve"> 3. listopada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2023. </t>
    </r>
    <r>
      <rPr>
        <sz val="10"/>
        <color indexed="8"/>
        <rFont val="Arial"/>
        <family val="2"/>
      </rPr>
      <t>g. donosi</t>
    </r>
  </si>
  <si>
    <t>vijeće općine Gornji Bogićevci  na  14. sjednici održanoj 3. listopada 2023. g. donosi:</t>
  </si>
  <si>
    <t>Članak 6</t>
  </si>
  <si>
    <r>
      <t xml:space="preserve">Nepodmirene obveze općine Gornji Bogićevci i Narodne knjižnice i čitaonice Grigor Vitez na dan 30. lipnja 2023. g.  iznose </t>
    </r>
    <r>
      <rPr>
        <b/>
        <sz val="12"/>
        <color rgb="FFFF0000"/>
        <rFont val="Arial"/>
        <family val="2"/>
      </rPr>
      <t>369.762,24 kn</t>
    </r>
    <r>
      <rPr>
        <b/>
        <sz val="12"/>
        <color theme="1"/>
        <rFont val="Arial"/>
        <family val="2"/>
      </rPr>
      <t xml:space="preserve">, = </t>
    </r>
  </si>
  <si>
    <t>54.756,28 eur</t>
  </si>
  <si>
    <t>od čega dospjelih u iznosu od 12.769,26 i to kako slijedi:</t>
  </si>
  <si>
    <t>…..obveze za financijske rashode</t>
  </si>
  <si>
    <t>…..obveze za materijalne rashode</t>
  </si>
  <si>
    <t>…..ostale tekuće obveze</t>
  </si>
  <si>
    <t>UKUPNO:</t>
  </si>
  <si>
    <t>Nedospjele obveze odnose se na slijedeće rashode:</t>
  </si>
  <si>
    <t>…..Obveze za rashode poslovanja-knjižnica</t>
  </si>
  <si>
    <t>…..Obveze za zaposlene i režijske troškove</t>
  </si>
  <si>
    <t>…..obveze za nefinancisku imovinu -općina</t>
  </si>
  <si>
    <t>Članak 7</t>
  </si>
  <si>
    <t>Potraživanja  općine Gornji Bogićevci na dan 30. lipnja 2023 g. ukupno iznose 144.751,89 eura, a pojedinačno po vrstama kako slijedi:</t>
  </si>
  <si>
    <t>…..Potraživanja od zaposlenih</t>
  </si>
  <si>
    <t>…..Potraživanja za više plaćene poreze</t>
  </si>
  <si>
    <t>…..Potraživanja za više plaćene ostale obveze</t>
  </si>
  <si>
    <t>…..Potraživanja od V.Z. SLAVONIJA  za el.energiju u domu Kosovac</t>
  </si>
  <si>
    <t>…..Potraživanja za el.en PZ Brezine</t>
  </si>
  <si>
    <t>…..Potraživanja za porez na promet nekretninama</t>
  </si>
  <si>
    <t>…..Potraživanja za porez na tvrtku</t>
  </si>
  <si>
    <t>…..Porez na robu i usluge</t>
  </si>
  <si>
    <t>…..Potraživanja za zakup poslovnih prostora</t>
  </si>
  <si>
    <t>…..Potraživanja za kamate za prodaju polj. zemljišta</t>
  </si>
  <si>
    <t>…..Potraživanja za zakup poljoprivrednog zemljišta u vlasništvu općine</t>
  </si>
  <si>
    <t xml:space="preserve">…..Potraživanja za zakup poljoprivrednog zemljišta </t>
  </si>
  <si>
    <t>…..Potraživanja za kamate za zakup polj.zemljišta</t>
  </si>
  <si>
    <t>…..Potraživanja za grobarine</t>
  </si>
  <si>
    <t>…..Potraživanja za održavanje kanalizacije</t>
  </si>
  <si>
    <t>…..Potraživanja za ostale prihode (voda Brezine, radni stroj, ukopi, grobna mjesta..)</t>
  </si>
  <si>
    <t>…..Potraživanja od prod.građevinskih objekata</t>
  </si>
  <si>
    <t>…..Potraživanja za komunalne naknade</t>
  </si>
  <si>
    <t>…..Potraživanja za naknade za priključak na vodovod i kanalizaciju</t>
  </si>
  <si>
    <t>…..Potraživanja od prodaje poljoprivrednog zemljišta</t>
  </si>
  <si>
    <t>Članak 8</t>
  </si>
  <si>
    <t xml:space="preserve">             Sredstva tekuće proračunske pričuve planiranih u iznosu od 2.700,00 eura za 2023.g. nisu korištena u prvom polugodištu 2023.g.</t>
  </si>
  <si>
    <t>Članak 9</t>
  </si>
  <si>
    <t xml:space="preserve">           U  prvom polugodištu 2023.g. Općina se nije zaduživala dugoročno, niti kratkoročno.</t>
  </si>
  <si>
    <t>Članak 10</t>
  </si>
  <si>
    <t>Ovaj polugodišnji izvještaj o izvršenju proračuna općine Gornji Bogićevci za 2023.g.biti će objavljen u "Službenom glasniku općine Gornji Bogićevci"</t>
  </si>
  <si>
    <r>
      <t xml:space="preserve"> te na web stranici općine Gornji Bogićevci </t>
    </r>
    <r>
      <rPr>
        <b/>
        <u val="single"/>
        <sz val="12"/>
        <color theme="1"/>
        <rFont val="Arial"/>
        <family val="2"/>
      </rPr>
      <t xml:space="preserve">www.opcinagornjibogicevci.hr </t>
    </r>
  </si>
  <si>
    <t>OPĆINSKO VIJEĆE OPĆINE GORNJI BOGIĆEVCI</t>
  </si>
  <si>
    <t>Predsjednik OV:</t>
  </si>
  <si>
    <t>Urbroj: 2178-22-03/23-01</t>
  </si>
  <si>
    <t>Željko Klarić</t>
  </si>
  <si>
    <r>
      <t>Gornji Bogićevci, 3.listopad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2023. g.</t>
    </r>
  </si>
  <si>
    <t>Klasa: 400-04/23-01-03/14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</si>
</sst>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u val="single"/>
      <sz val="12"/>
      <color theme="1"/>
      <name val="Arial"/>
      <family val="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double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38">
    <xf numFmtId="0" fontId="0" fillId="0" borderId="0" xfId="0"/>
    <xf numFmtId="0" fontId="1" fillId="0" borderId="0" xfId="20" applyAlignment="1">
      <alignment wrapText="1"/>
      <protection/>
    </xf>
    <xf numFmtId="0" fontId="1" fillId="2" borderId="0" xfId="20" applyFill="1" applyAlignment="1">
      <alignment wrapText="1"/>
      <protection/>
    </xf>
    <xf numFmtId="0" fontId="5" fillId="0" borderId="0" xfId="20" applyFont="1" applyAlignment="1">
      <alignment horizontal="center" wrapText="1"/>
      <protection/>
    </xf>
    <xf numFmtId="0" fontId="6" fillId="0" borderId="0" xfId="20" applyFont="1" applyAlignment="1">
      <alignment horizontal="center" wrapText="1"/>
      <protection/>
    </xf>
    <xf numFmtId="0" fontId="6" fillId="2" borderId="0" xfId="20" applyFont="1" applyFill="1" applyAlignment="1">
      <alignment horizontal="center" wrapText="1"/>
      <protection/>
    </xf>
    <xf numFmtId="0" fontId="6" fillId="0" borderId="0" xfId="20" applyFont="1" applyAlignment="1">
      <alignment horizontal="center"/>
      <protection/>
    </xf>
    <xf numFmtId="0" fontId="6" fillId="2" borderId="0" xfId="20" applyFont="1" applyFill="1" applyAlignment="1">
      <alignment horizontal="center"/>
      <protection/>
    </xf>
    <xf numFmtId="0" fontId="1" fillId="0" borderId="0" xfId="20">
      <alignment/>
      <protection/>
    </xf>
    <xf numFmtId="0" fontId="7" fillId="0" borderId="0" xfId="20" applyFont="1">
      <alignment/>
      <protection/>
    </xf>
    <xf numFmtId="0" fontId="7" fillId="2" borderId="0" xfId="20" applyFont="1" applyFill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5" fillId="3" borderId="2" xfId="20" applyFont="1" applyFill="1" applyBorder="1" applyAlignment="1">
      <alignment horizontal="center" vertical="center" wrapText="1"/>
      <protection/>
    </xf>
    <xf numFmtId="0" fontId="5" fillId="3" borderId="3" xfId="20" applyFont="1" applyFill="1" applyBorder="1" applyAlignment="1">
      <alignment horizontal="center" vertical="center" wrapText="1"/>
      <protection/>
    </xf>
    <xf numFmtId="0" fontId="8" fillId="3" borderId="3" xfId="20" applyFont="1" applyFill="1" applyBorder="1" applyAlignment="1">
      <alignment horizontal="center" vertical="center" wrapText="1"/>
      <protection/>
    </xf>
    <xf numFmtId="0" fontId="6" fillId="2" borderId="3" xfId="20" applyFont="1" applyFill="1" applyBorder="1" applyAlignment="1">
      <alignment horizontal="center" vertical="center" wrapText="1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6" fillId="0" borderId="0" xfId="20" applyFont="1">
      <alignment/>
      <protection/>
    </xf>
    <xf numFmtId="0" fontId="6" fillId="0" borderId="5" xfId="20" applyFont="1" applyBorder="1">
      <alignment/>
      <protection/>
    </xf>
    <xf numFmtId="0" fontId="6" fillId="2" borderId="5" xfId="20" applyFont="1" applyFill="1" applyBorder="1">
      <alignment/>
      <protection/>
    </xf>
    <xf numFmtId="4" fontId="6" fillId="0" borderId="5" xfId="20" applyNumberFormat="1" applyFont="1" applyBorder="1">
      <alignment/>
      <protection/>
    </xf>
    <xf numFmtId="4" fontId="6" fillId="2" borderId="6" xfId="20" applyNumberFormat="1" applyFont="1" applyFill="1" applyBorder="1">
      <alignment/>
      <protection/>
    </xf>
    <xf numFmtId="4" fontId="5" fillId="3" borderId="6" xfId="20" applyNumberFormat="1" applyFont="1" applyFill="1" applyBorder="1">
      <alignment/>
      <protection/>
    </xf>
    <xf numFmtId="4" fontId="6" fillId="0" borderId="2" xfId="20" applyNumberFormat="1" applyFont="1" applyBorder="1">
      <alignment/>
      <protection/>
    </xf>
    <xf numFmtId="0" fontId="1" fillId="0" borderId="6" xfId="20" applyBorder="1">
      <alignment/>
      <protection/>
    </xf>
    <xf numFmtId="4" fontId="6" fillId="0" borderId="6" xfId="20" applyNumberFormat="1" applyFont="1" applyBorder="1">
      <alignment/>
      <protection/>
    </xf>
    <xf numFmtId="4" fontId="6" fillId="0" borderId="0" xfId="20" applyNumberFormat="1" applyFont="1">
      <alignment/>
      <protection/>
    </xf>
    <xf numFmtId="4" fontId="6" fillId="2" borderId="0" xfId="20" applyNumberFormat="1" applyFont="1" applyFill="1">
      <alignment/>
      <protection/>
    </xf>
    <xf numFmtId="0" fontId="1" fillId="0" borderId="0" xfId="20" applyAlignment="1">
      <alignment horizontal="center"/>
      <protection/>
    </xf>
    <xf numFmtId="0" fontId="1" fillId="2" borderId="0" xfId="20" applyFill="1" applyAlignment="1">
      <alignment horizontal="center"/>
      <protection/>
    </xf>
    <xf numFmtId="0" fontId="3" fillId="0" borderId="0" xfId="20" applyFont="1">
      <alignment/>
      <protection/>
    </xf>
    <xf numFmtId="4" fontId="1" fillId="0" borderId="0" xfId="20" applyNumberFormat="1">
      <alignment/>
      <protection/>
    </xf>
    <xf numFmtId="0" fontId="1" fillId="2" borderId="0" xfId="20" applyFill="1">
      <alignment/>
      <protection/>
    </xf>
    <xf numFmtId="0" fontId="1" fillId="4" borderId="7" xfId="20" applyFill="1" applyBorder="1">
      <alignment/>
      <protection/>
    </xf>
    <xf numFmtId="0" fontId="9" fillId="4" borderId="8" xfId="20" applyFont="1" applyFill="1" applyBorder="1">
      <alignment/>
      <protection/>
    </xf>
    <xf numFmtId="0" fontId="1" fillId="4" borderId="8" xfId="20" applyFill="1" applyBorder="1">
      <alignment/>
      <protection/>
    </xf>
    <xf numFmtId="0" fontId="1" fillId="2" borderId="8" xfId="20" applyFill="1" applyBorder="1">
      <alignment/>
      <protection/>
    </xf>
    <xf numFmtId="0" fontId="1" fillId="2" borderId="9" xfId="20" applyFill="1" applyBorder="1">
      <alignment/>
      <protection/>
    </xf>
    <xf numFmtId="0" fontId="1" fillId="5" borderId="7" xfId="20" applyFill="1" applyBorder="1">
      <alignment/>
      <protection/>
    </xf>
    <xf numFmtId="0" fontId="10" fillId="5" borderId="10" xfId="20" applyFont="1" applyFill="1" applyBorder="1">
      <alignment/>
      <protection/>
    </xf>
    <xf numFmtId="4" fontId="11" fillId="5" borderId="11" xfId="20" applyNumberFormat="1" applyFont="1" applyFill="1" applyBorder="1">
      <alignment/>
      <protection/>
    </xf>
    <xf numFmtId="4" fontId="12" fillId="2" borderId="11" xfId="20" applyNumberFormat="1" applyFont="1" applyFill="1" applyBorder="1">
      <alignment/>
      <protection/>
    </xf>
    <xf numFmtId="4" fontId="12" fillId="2" borderId="12" xfId="20" applyNumberFormat="1" applyFont="1" applyFill="1" applyBorder="1">
      <alignment/>
      <protection/>
    </xf>
    <xf numFmtId="0" fontId="5" fillId="3" borderId="13" xfId="20" applyFont="1" applyFill="1" applyBorder="1" applyAlignment="1">
      <alignment vertical="center" wrapText="1" shrinkToFit="1"/>
      <protection/>
    </xf>
    <xf numFmtId="0" fontId="5" fillId="3" borderId="13" xfId="20" applyFont="1" applyFill="1" applyBorder="1" applyAlignment="1">
      <alignment horizontal="center" vertical="center"/>
      <protection/>
    </xf>
    <xf numFmtId="0" fontId="13" fillId="2" borderId="13" xfId="20" applyFont="1" applyFill="1" applyBorder="1" applyAlignment="1">
      <alignment horizontal="center" vertical="center" wrapText="1"/>
      <protection/>
    </xf>
    <xf numFmtId="0" fontId="14" fillId="2" borderId="13" xfId="20" applyFont="1" applyFill="1" applyBorder="1" applyAlignment="1">
      <alignment horizontal="center" vertical="center" wrapText="1"/>
      <protection/>
    </xf>
    <xf numFmtId="0" fontId="15" fillId="6" borderId="2" xfId="20" applyFont="1" applyFill="1" applyBorder="1" applyAlignment="1">
      <alignment horizontal="left" vertical="top"/>
      <protection/>
    </xf>
    <xf numFmtId="0" fontId="8" fillId="6" borderId="2" xfId="20" applyFont="1" applyFill="1" applyBorder="1">
      <alignment/>
      <protection/>
    </xf>
    <xf numFmtId="4" fontId="15" fillId="6" borderId="2" xfId="20" applyNumberFormat="1" applyFont="1" applyFill="1" applyBorder="1">
      <alignment/>
      <protection/>
    </xf>
    <xf numFmtId="4" fontId="16" fillId="2" borderId="2" xfId="20" applyNumberFormat="1" applyFont="1" applyFill="1" applyBorder="1">
      <alignment/>
      <protection/>
    </xf>
    <xf numFmtId="0" fontId="15" fillId="7" borderId="6" xfId="20" applyFont="1" applyFill="1" applyBorder="1" applyAlignment="1">
      <alignment horizontal="left" vertical="top"/>
      <protection/>
    </xf>
    <xf numFmtId="0" fontId="8" fillId="7" borderId="6" xfId="20" applyFont="1" applyFill="1" applyBorder="1">
      <alignment/>
      <protection/>
    </xf>
    <xf numFmtId="4" fontId="15" fillId="7" borderId="6" xfId="20" applyNumberFormat="1" applyFont="1" applyFill="1" applyBorder="1">
      <alignment/>
      <protection/>
    </xf>
    <xf numFmtId="0" fontId="8" fillId="0" borderId="6" xfId="20" applyFont="1" applyBorder="1" applyAlignment="1">
      <alignment horizontal="left" vertical="top"/>
      <protection/>
    </xf>
    <xf numFmtId="0" fontId="8" fillId="0" borderId="6" xfId="20" applyFont="1" applyBorder="1">
      <alignment/>
      <protection/>
    </xf>
    <xf numFmtId="4" fontId="17" fillId="0" borderId="6" xfId="0" applyNumberFormat="1" applyFont="1" applyBorder="1"/>
    <xf numFmtId="4" fontId="17" fillId="0" borderId="6" xfId="20" applyNumberFormat="1" applyFont="1" applyBorder="1">
      <alignment/>
      <protection/>
    </xf>
    <xf numFmtId="0" fontId="15" fillId="7" borderId="6" xfId="20" applyFont="1" applyFill="1" applyBorder="1" applyAlignment="1">
      <alignment horizontal="left" vertical="center"/>
      <protection/>
    </xf>
    <xf numFmtId="0" fontId="8" fillId="7" borderId="6" xfId="20" applyFont="1" applyFill="1" applyBorder="1" applyAlignment="1">
      <alignment vertical="center" wrapText="1"/>
      <protection/>
    </xf>
    <xf numFmtId="4" fontId="15" fillId="7" borderId="6" xfId="20" applyNumberFormat="1" applyFont="1" applyFill="1" applyBorder="1" applyAlignment="1">
      <alignment vertical="center"/>
      <protection/>
    </xf>
    <xf numFmtId="0" fontId="8" fillId="8" borderId="6" xfId="20" applyFont="1" applyFill="1" applyBorder="1" applyAlignment="1">
      <alignment horizontal="left" vertical="top"/>
      <protection/>
    </xf>
    <xf numFmtId="0" fontId="8" fillId="8" borderId="6" xfId="20" applyFont="1" applyFill="1" applyBorder="1">
      <alignment/>
      <protection/>
    </xf>
    <xf numFmtId="4" fontId="8" fillId="8" borderId="6" xfId="20" applyNumberFormat="1" applyFont="1" applyFill="1" applyBorder="1">
      <alignment/>
      <protection/>
    </xf>
    <xf numFmtId="0" fontId="17" fillId="0" borderId="6" xfId="20" applyFont="1" applyBorder="1" applyAlignment="1">
      <alignment horizontal="left" vertical="top"/>
      <protection/>
    </xf>
    <xf numFmtId="0" fontId="17" fillId="0" borderId="6" xfId="20" applyFont="1" applyBorder="1">
      <alignment/>
      <protection/>
    </xf>
    <xf numFmtId="4" fontId="18" fillId="0" borderId="6" xfId="0" applyNumberFormat="1" applyFont="1" applyBorder="1"/>
    <xf numFmtId="4" fontId="18" fillId="0" borderId="6" xfId="20" applyNumberFormat="1" applyFont="1" applyBorder="1">
      <alignment/>
      <protection/>
    </xf>
    <xf numFmtId="0" fontId="17" fillId="0" borderId="6" xfId="20" applyFont="1" applyBorder="1" applyAlignment="1">
      <alignment horizontal="left" vertical="top"/>
      <protection/>
    </xf>
    <xf numFmtId="4" fontId="18" fillId="0" borderId="6" xfId="20" applyNumberFormat="1" applyFont="1" applyBorder="1">
      <alignment/>
      <protection/>
    </xf>
    <xf numFmtId="0" fontId="8" fillId="8" borderId="6" xfId="20" applyFont="1" applyFill="1" applyBorder="1" applyAlignment="1">
      <alignment horizontal="center" wrapText="1"/>
      <protection/>
    </xf>
    <xf numFmtId="0" fontId="8" fillId="9" borderId="6" xfId="20" applyFont="1" applyFill="1" applyBorder="1" applyAlignment="1">
      <alignment horizontal="left" vertical="top"/>
      <protection/>
    </xf>
    <xf numFmtId="4" fontId="13" fillId="9" borderId="6" xfId="20" applyNumberFormat="1" applyFont="1" applyFill="1" applyBorder="1">
      <alignment/>
      <protection/>
    </xf>
    <xf numFmtId="0" fontId="17" fillId="0" borderId="6" xfId="20" applyFont="1" applyBorder="1" applyAlignment="1">
      <alignment wrapText="1"/>
      <protection/>
    </xf>
    <xf numFmtId="0" fontId="8" fillId="10" borderId="6" xfId="20" applyFont="1" applyFill="1" applyBorder="1" applyAlignment="1">
      <alignment horizontal="left" vertical="top"/>
      <protection/>
    </xf>
    <xf numFmtId="0" fontId="8" fillId="10" borderId="6" xfId="20" applyFont="1" applyFill="1" applyBorder="1">
      <alignment/>
      <protection/>
    </xf>
    <xf numFmtId="4" fontId="8" fillId="10" borderId="6" xfId="20" applyNumberFormat="1" applyFont="1" applyFill="1" applyBorder="1">
      <alignment/>
      <protection/>
    </xf>
    <xf numFmtId="0" fontId="17" fillId="11" borderId="6" xfId="20" applyFont="1" applyFill="1" applyBorder="1" applyAlignment="1">
      <alignment horizontal="left" vertical="top"/>
      <protection/>
    </xf>
    <xf numFmtId="0" fontId="17" fillId="11" borderId="6" xfId="20" applyFont="1" applyFill="1" applyBorder="1">
      <alignment/>
      <protection/>
    </xf>
    <xf numFmtId="4" fontId="17" fillId="11" borderId="6" xfId="20" applyNumberFormat="1" applyFont="1" applyFill="1" applyBorder="1">
      <alignment/>
      <protection/>
    </xf>
    <xf numFmtId="4" fontId="17" fillId="0" borderId="6" xfId="0" applyNumberFormat="1" applyFont="1" applyBorder="1"/>
    <xf numFmtId="4" fontId="17" fillId="0" borderId="6" xfId="20" applyNumberFormat="1" applyFont="1" applyBorder="1">
      <alignment/>
      <protection/>
    </xf>
    <xf numFmtId="0" fontId="19" fillId="0" borderId="6" xfId="20" applyFont="1" applyBorder="1" applyAlignment="1">
      <alignment horizontal="left" vertical="top"/>
      <protection/>
    </xf>
    <xf numFmtId="0" fontId="8" fillId="11" borderId="6" xfId="20" applyFont="1" applyFill="1" applyBorder="1" applyAlignment="1">
      <alignment horizontal="left" vertical="top"/>
      <protection/>
    </xf>
    <xf numFmtId="0" fontId="8" fillId="11" borderId="6" xfId="20" applyFont="1" applyFill="1" applyBorder="1">
      <alignment/>
      <protection/>
    </xf>
    <xf numFmtId="4" fontId="8" fillId="11" borderId="6" xfId="20" applyNumberFormat="1" applyFont="1" applyFill="1" applyBorder="1">
      <alignment/>
      <protection/>
    </xf>
    <xf numFmtId="0" fontId="17" fillId="3" borderId="6" xfId="20" applyFont="1" applyFill="1" applyBorder="1">
      <alignment/>
      <protection/>
    </xf>
    <xf numFmtId="4" fontId="17" fillId="0" borderId="6" xfId="20" applyNumberFormat="1" applyFont="1" applyBorder="1" applyAlignment="1">
      <alignment wrapText="1"/>
      <protection/>
    </xf>
    <xf numFmtId="0" fontId="17" fillId="11" borderId="6" xfId="20" applyFont="1" applyFill="1" applyBorder="1" applyAlignment="1">
      <alignment horizontal="left" vertical="top"/>
      <protection/>
    </xf>
    <xf numFmtId="4" fontId="17" fillId="11" borderId="6" xfId="20" applyNumberFormat="1" applyFont="1" applyFill="1" applyBorder="1" applyAlignment="1">
      <alignment wrapText="1"/>
      <protection/>
    </xf>
    <xf numFmtId="0" fontId="5" fillId="8" borderId="6" xfId="20" applyFont="1" applyFill="1" applyBorder="1" applyAlignment="1">
      <alignment horizontal="left" vertical="top"/>
      <protection/>
    </xf>
    <xf numFmtId="0" fontId="8" fillId="8" borderId="6" xfId="20" applyFont="1" applyFill="1" applyBorder="1" applyAlignment="1">
      <alignment wrapText="1"/>
      <protection/>
    </xf>
    <xf numFmtId="4" fontId="5" fillId="8" borderId="6" xfId="20" applyNumberFormat="1" applyFont="1" applyFill="1" applyBorder="1">
      <alignment/>
      <protection/>
    </xf>
    <xf numFmtId="0" fontId="2" fillId="2" borderId="6" xfId="20" applyFont="1" applyFill="1" applyBorder="1" applyAlignment="1">
      <alignment horizontal="left" vertical="top"/>
      <protection/>
    </xf>
    <xf numFmtId="0" fontId="17" fillId="2" borderId="6" xfId="20" applyFont="1" applyFill="1" applyBorder="1" applyAlignment="1">
      <alignment wrapText="1"/>
      <protection/>
    </xf>
    <xf numFmtId="4" fontId="2" fillId="2" borderId="6" xfId="0" applyNumberFormat="1" applyFont="1" applyFill="1" applyBorder="1"/>
    <xf numFmtId="4" fontId="2" fillId="2" borderId="6" xfId="20" applyNumberFormat="1" applyFont="1" applyFill="1" applyBorder="1">
      <alignment/>
      <protection/>
    </xf>
    <xf numFmtId="0" fontId="17" fillId="3" borderId="6" xfId="20" applyFont="1" applyFill="1" applyBorder="1" applyAlignment="1">
      <alignment horizontal="left" vertical="top"/>
      <protection/>
    </xf>
    <xf numFmtId="0" fontId="17" fillId="3" borderId="6" xfId="20" applyFont="1" applyFill="1" applyBorder="1" applyAlignment="1">
      <alignment wrapText="1"/>
      <protection/>
    </xf>
    <xf numFmtId="4" fontId="17" fillId="2" borderId="6" xfId="0" applyNumberFormat="1" applyFont="1" applyFill="1" applyBorder="1"/>
    <xf numFmtId="4" fontId="17" fillId="2" borderId="6" xfId="20" applyNumberFormat="1" applyFont="1" applyFill="1" applyBorder="1">
      <alignment/>
      <protection/>
    </xf>
    <xf numFmtId="0" fontId="17" fillId="3" borderId="6" xfId="20" applyFont="1" applyFill="1" applyBorder="1">
      <alignment/>
      <protection/>
    </xf>
    <xf numFmtId="4" fontId="17" fillId="3" borderId="6" xfId="0" applyNumberFormat="1" applyFont="1" applyFill="1" applyBorder="1"/>
    <xf numFmtId="4" fontId="17" fillId="3" borderId="6" xfId="20" applyNumberFormat="1" applyFont="1" applyFill="1" applyBorder="1">
      <alignment/>
      <protection/>
    </xf>
    <xf numFmtId="0" fontId="15" fillId="7" borderId="6" xfId="20" applyFont="1" applyFill="1" applyBorder="1" applyAlignment="1">
      <alignment horizontal="left" vertical="top"/>
      <protection/>
    </xf>
    <xf numFmtId="4" fontId="15" fillId="7" borderId="6" xfId="20" applyNumberFormat="1" applyFont="1" applyFill="1" applyBorder="1">
      <alignment/>
      <protection/>
    </xf>
    <xf numFmtId="0" fontId="8" fillId="8" borderId="6" xfId="20" applyFont="1" applyFill="1" applyBorder="1" applyAlignment="1">
      <alignment horizontal="left" vertical="top"/>
      <protection/>
    </xf>
    <xf numFmtId="4" fontId="8" fillId="8" borderId="6" xfId="20" applyNumberFormat="1" applyFont="1" applyFill="1" applyBorder="1">
      <alignment/>
      <protection/>
    </xf>
    <xf numFmtId="0" fontId="17" fillId="0" borderId="6" xfId="20" applyFont="1" applyBorder="1" applyAlignment="1">
      <alignment vertical="top"/>
      <protection/>
    </xf>
    <xf numFmtId="4" fontId="17" fillId="0" borderId="6" xfId="20" applyNumberFormat="1" applyFont="1" applyBorder="1" applyAlignment="1">
      <alignment wrapText="1"/>
      <protection/>
    </xf>
    <xf numFmtId="0" fontId="20" fillId="2" borderId="0" xfId="0" applyFont="1" applyFill="1"/>
    <xf numFmtId="0" fontId="15" fillId="6" borderId="6" xfId="20" applyFont="1" applyFill="1" applyBorder="1" applyAlignment="1">
      <alignment horizontal="left" vertical="center"/>
      <protection/>
    </xf>
    <xf numFmtId="0" fontId="8" fillId="6" borderId="6" xfId="20" applyFont="1" applyFill="1" applyBorder="1" applyAlignment="1">
      <alignment vertical="center" wrapText="1"/>
      <protection/>
    </xf>
    <xf numFmtId="4" fontId="15" fillId="6" borderId="6" xfId="20" applyNumberFormat="1" applyFont="1" applyFill="1" applyBorder="1" applyAlignment="1">
      <alignment vertical="center"/>
      <protection/>
    </xf>
    <xf numFmtId="0" fontId="21" fillId="2" borderId="6" xfId="20" applyFont="1" applyFill="1" applyBorder="1" applyAlignment="1">
      <alignment horizontal="left" vertical="top"/>
      <protection/>
    </xf>
    <xf numFmtId="0" fontId="8" fillId="2" borderId="6" xfId="20" applyFont="1" applyFill="1" applyBorder="1">
      <alignment/>
      <protection/>
    </xf>
    <xf numFmtId="4" fontId="15" fillId="2" borderId="6" xfId="20" applyNumberFormat="1" applyFont="1" applyFill="1" applyBorder="1">
      <alignment/>
      <protection/>
    </xf>
    <xf numFmtId="0" fontId="22" fillId="6" borderId="6" xfId="20" applyFont="1" applyFill="1" applyBorder="1" applyAlignment="1">
      <alignment horizontal="left" vertical="center"/>
      <protection/>
    </xf>
    <xf numFmtId="0" fontId="8" fillId="3" borderId="6" xfId="20" applyFont="1" applyFill="1" applyBorder="1" applyAlignment="1">
      <alignment wrapText="1"/>
      <protection/>
    </xf>
    <xf numFmtId="0" fontId="17" fillId="0" borderId="0" xfId="20" applyFont="1" applyAlignment="1">
      <alignment horizontal="left" vertical="top"/>
      <protection/>
    </xf>
    <xf numFmtId="0" fontId="8" fillId="3" borderId="0" xfId="20" applyFont="1" applyFill="1" applyAlignment="1">
      <alignment wrapText="1"/>
      <protection/>
    </xf>
    <xf numFmtId="4" fontId="17" fillId="0" borderId="0" xfId="20" applyNumberFormat="1" applyFont="1">
      <alignment/>
      <protection/>
    </xf>
    <xf numFmtId="4" fontId="16" fillId="2" borderId="0" xfId="20" applyNumberFormat="1" applyFont="1" applyFill="1">
      <alignment/>
      <protection/>
    </xf>
    <xf numFmtId="0" fontId="17" fillId="0" borderId="0" xfId="20" applyFont="1" applyAlignment="1">
      <alignment horizontal="left" vertical="top"/>
      <protection/>
    </xf>
    <xf numFmtId="0" fontId="17" fillId="0" borderId="0" xfId="20" applyFont="1">
      <alignment/>
      <protection/>
    </xf>
    <xf numFmtId="4" fontId="17" fillId="0" borderId="0" xfId="20" applyNumberFormat="1" applyFont="1">
      <alignment/>
      <protection/>
    </xf>
    <xf numFmtId="4" fontId="18" fillId="2" borderId="0" xfId="20" applyNumberFormat="1" applyFont="1" applyFill="1">
      <alignment/>
      <protection/>
    </xf>
    <xf numFmtId="0" fontId="1" fillId="4" borderId="14" xfId="20" applyFill="1" applyBorder="1">
      <alignment/>
      <protection/>
    </xf>
    <xf numFmtId="4" fontId="9" fillId="4" borderId="8" xfId="20" applyNumberFormat="1" applyFont="1" applyFill="1" applyBorder="1">
      <alignment/>
      <protection/>
    </xf>
    <xf numFmtId="0" fontId="1" fillId="12" borderId="8" xfId="20" applyFill="1" applyBorder="1">
      <alignment/>
      <protection/>
    </xf>
    <xf numFmtId="0" fontId="1" fillId="5" borderId="14" xfId="20" applyFill="1" applyBorder="1">
      <alignment/>
      <protection/>
    </xf>
    <xf numFmtId="0" fontId="5" fillId="0" borderId="13" xfId="20" applyFont="1" applyBorder="1" applyAlignment="1">
      <alignment vertical="center" wrapText="1"/>
      <protection/>
    </xf>
    <xf numFmtId="0" fontId="5" fillId="0" borderId="13" xfId="20" applyFont="1" applyBorder="1" applyAlignment="1">
      <alignment horizontal="center" vertical="center"/>
      <protection/>
    </xf>
    <xf numFmtId="0" fontId="8" fillId="8" borderId="6" xfId="20" applyFont="1" applyFill="1" applyBorder="1" applyAlignment="1">
      <alignment horizontal="left" vertical="center"/>
      <protection/>
    </xf>
    <xf numFmtId="0" fontId="8" fillId="8" borderId="6" xfId="20" applyFont="1" applyFill="1" applyBorder="1" applyAlignment="1">
      <alignment vertical="center"/>
      <protection/>
    </xf>
    <xf numFmtId="4" fontId="8" fillId="8" borderId="6" xfId="20" applyNumberFormat="1" applyFont="1" applyFill="1" applyBorder="1" applyAlignment="1">
      <alignment vertical="center"/>
      <protection/>
    </xf>
    <xf numFmtId="4" fontId="19" fillId="0" borderId="6" xfId="20" applyNumberFormat="1" applyFont="1" applyBorder="1">
      <alignment/>
      <protection/>
    </xf>
    <xf numFmtId="0" fontId="17" fillId="0" borderId="6" xfId="20" applyFont="1" applyBorder="1" applyAlignment="1">
      <alignment horizontal="left" vertical="justify"/>
      <protection/>
    </xf>
    <xf numFmtId="0" fontId="8" fillId="10" borderId="6" xfId="20" applyFont="1" applyFill="1" applyBorder="1" applyAlignment="1">
      <alignment wrapText="1"/>
      <protection/>
    </xf>
    <xf numFmtId="0" fontId="17" fillId="2" borderId="6" xfId="20" applyFont="1" applyFill="1" applyBorder="1" applyAlignment="1">
      <alignment wrapText="1"/>
      <protection/>
    </xf>
    <xf numFmtId="4" fontId="23" fillId="0" borderId="6" xfId="20" applyNumberFormat="1" applyFont="1" applyBorder="1">
      <alignment/>
      <protection/>
    </xf>
    <xf numFmtId="0" fontId="17" fillId="0" borderId="6" xfId="20" applyFont="1" applyBorder="1" applyAlignment="1">
      <alignment horizontal="left" vertical="center"/>
      <protection/>
    </xf>
    <xf numFmtId="0" fontId="17" fillId="0" borderId="6" xfId="20" applyFont="1" applyBorder="1" applyAlignment="1">
      <alignment vertical="center" wrapText="1"/>
      <protection/>
    </xf>
    <xf numFmtId="4" fontId="17" fillId="0" borderId="6" xfId="0" applyNumberFormat="1" applyFont="1" applyBorder="1" applyAlignment="1">
      <alignment vertical="center"/>
    </xf>
    <xf numFmtId="4" fontId="17" fillId="0" borderId="6" xfId="20" applyNumberFormat="1" applyFont="1" applyBorder="1" applyAlignment="1">
      <alignment vertical="center"/>
      <protection/>
    </xf>
    <xf numFmtId="4" fontId="16" fillId="2" borderId="2" xfId="20" applyNumberFormat="1" applyFont="1" applyFill="1" applyBorder="1" applyAlignment="1">
      <alignment vertical="center"/>
      <protection/>
    </xf>
    <xf numFmtId="0" fontId="19" fillId="0" borderId="6" xfId="20" applyFont="1" applyBorder="1" applyAlignment="1">
      <alignment horizontal="left" vertical="center"/>
      <protection/>
    </xf>
    <xf numFmtId="0" fontId="17" fillId="0" borderId="6" xfId="20" applyFont="1" applyBorder="1" applyAlignment="1">
      <alignment vertical="center"/>
      <protection/>
    </xf>
    <xf numFmtId="4" fontId="18" fillId="0" borderId="6" xfId="20" applyNumberFormat="1" applyFont="1" applyBorder="1" applyAlignment="1">
      <alignment vertical="center"/>
      <protection/>
    </xf>
    <xf numFmtId="4" fontId="16" fillId="2" borderId="6" xfId="20" applyNumberFormat="1" applyFont="1" applyFill="1" applyBorder="1">
      <alignment/>
      <protection/>
    </xf>
    <xf numFmtId="1" fontId="17" fillId="0" borderId="6" xfId="20" applyNumberFormat="1" applyFont="1" applyBorder="1" applyAlignment="1">
      <alignment horizontal="left" vertical="top"/>
      <protection/>
    </xf>
    <xf numFmtId="4" fontId="17" fillId="2" borderId="6" xfId="20" applyNumberFormat="1" applyFont="1" applyFill="1" applyBorder="1">
      <alignment/>
      <protection/>
    </xf>
    <xf numFmtId="1" fontId="19" fillId="0" borderId="6" xfId="20" applyNumberFormat="1" applyFont="1" applyBorder="1" applyAlignment="1">
      <alignment horizontal="left" vertical="top"/>
      <protection/>
    </xf>
    <xf numFmtId="0" fontId="17" fillId="2" borderId="6" xfId="20" applyFont="1" applyFill="1" applyBorder="1" applyAlignment="1">
      <alignment horizontal="left" vertical="top"/>
      <protection/>
    </xf>
    <xf numFmtId="0" fontId="17" fillId="2" borderId="6" xfId="20" applyFont="1" applyFill="1" applyBorder="1">
      <alignment/>
      <protection/>
    </xf>
    <xf numFmtId="0" fontId="17" fillId="0" borderId="6" xfId="20" applyFont="1" applyBorder="1">
      <alignment/>
      <protection/>
    </xf>
    <xf numFmtId="0" fontId="17" fillId="9" borderId="6" xfId="20" applyFont="1" applyFill="1" applyBorder="1" applyAlignment="1">
      <alignment horizontal="left" vertical="top"/>
      <protection/>
    </xf>
    <xf numFmtId="0" fontId="17" fillId="9" borderId="6" xfId="20" applyFont="1" applyFill="1" applyBorder="1">
      <alignment/>
      <protection/>
    </xf>
    <xf numFmtId="4" fontId="17" fillId="9" borderId="6" xfId="0" applyNumberFormat="1" applyFont="1" applyFill="1" applyBorder="1"/>
    <xf numFmtId="0" fontId="17" fillId="2" borderId="6" xfId="20" applyFont="1" applyFill="1" applyBorder="1" applyAlignment="1">
      <alignment horizontal="left" vertical="top"/>
      <protection/>
    </xf>
    <xf numFmtId="0" fontId="17" fillId="2" borderId="6" xfId="20" applyFont="1" applyFill="1" applyBorder="1">
      <alignment/>
      <protection/>
    </xf>
    <xf numFmtId="4" fontId="17" fillId="2" borderId="6" xfId="0" applyNumberFormat="1" applyFont="1" applyFill="1" applyBorder="1"/>
    <xf numFmtId="0" fontId="8" fillId="8" borderId="6" xfId="20" applyFont="1" applyFill="1" applyBorder="1" applyAlignment="1">
      <alignment horizontal="left" vertical="justify"/>
      <protection/>
    </xf>
    <xf numFmtId="0" fontId="17" fillId="2" borderId="6" xfId="20" applyFont="1" applyFill="1" applyBorder="1" applyAlignment="1">
      <alignment horizontal="left" vertical="justify"/>
      <protection/>
    </xf>
    <xf numFmtId="0" fontId="17" fillId="2" borderId="6" xfId="20" applyFont="1" applyFill="1" applyBorder="1" applyAlignment="1">
      <alignment horizontal="center" wrapText="1"/>
      <protection/>
    </xf>
    <xf numFmtId="0" fontId="19" fillId="2" borderId="6" xfId="20" applyFont="1" applyFill="1" applyBorder="1" applyAlignment="1">
      <alignment horizontal="left" vertical="justify"/>
      <protection/>
    </xf>
    <xf numFmtId="0" fontId="8" fillId="10" borderId="6" xfId="20" applyFont="1" applyFill="1" applyBorder="1" applyAlignment="1">
      <alignment horizontal="left" vertical="justify"/>
      <protection/>
    </xf>
    <xf numFmtId="4" fontId="8" fillId="10" borderId="6" xfId="0" applyNumberFormat="1" applyFont="1" applyFill="1" applyBorder="1"/>
    <xf numFmtId="0" fontId="15" fillId="6" borderId="6" xfId="20" applyFont="1" applyFill="1" applyBorder="1" applyAlignment="1">
      <alignment horizontal="left" vertical="top"/>
      <protection/>
    </xf>
    <xf numFmtId="0" fontId="8" fillId="6" borderId="6" xfId="20" applyFont="1" applyFill="1" applyBorder="1">
      <alignment/>
      <protection/>
    </xf>
    <xf numFmtId="4" fontId="15" fillId="6" borderId="6" xfId="20" applyNumberFormat="1" applyFont="1" applyFill="1" applyBorder="1">
      <alignment/>
      <protection/>
    </xf>
    <xf numFmtId="0" fontId="5" fillId="8" borderId="6" xfId="20" applyFont="1" applyFill="1" applyBorder="1" applyAlignment="1">
      <alignment horizontal="left" vertical="justify"/>
      <protection/>
    </xf>
    <xf numFmtId="0" fontId="2" fillId="0" borderId="6" xfId="20" applyFont="1" applyBorder="1" applyAlignment="1">
      <alignment horizontal="left" vertical="justify"/>
      <protection/>
    </xf>
    <xf numFmtId="4" fontId="2" fillId="0" borderId="6" xfId="20" applyNumberFormat="1" applyFont="1" applyBorder="1">
      <alignment/>
      <protection/>
    </xf>
    <xf numFmtId="0" fontId="8" fillId="10" borderId="6" xfId="20" applyFont="1" applyFill="1" applyBorder="1">
      <alignment/>
      <protection/>
    </xf>
    <xf numFmtId="0" fontId="2" fillId="8" borderId="6" xfId="20" applyFont="1" applyFill="1" applyBorder="1" applyAlignment="1">
      <alignment horizontal="left" vertical="top"/>
      <protection/>
    </xf>
    <xf numFmtId="0" fontId="17" fillId="8" borderId="6" xfId="20" applyFont="1" applyFill="1" applyBorder="1">
      <alignment/>
      <protection/>
    </xf>
    <xf numFmtId="4" fontId="18" fillId="2" borderId="6" xfId="0" applyNumberFormat="1" applyFont="1" applyFill="1" applyBorder="1"/>
    <xf numFmtId="4" fontId="18" fillId="2" borderId="6" xfId="20" applyNumberFormat="1" applyFont="1" applyFill="1" applyBorder="1">
      <alignment/>
      <protection/>
    </xf>
    <xf numFmtId="0" fontId="8" fillId="8" borderId="6" xfId="20" applyFont="1" applyFill="1" applyBorder="1" applyAlignment="1">
      <alignment horizontal="left" vertical="justify"/>
      <protection/>
    </xf>
    <xf numFmtId="0" fontId="8" fillId="8" borderId="6" xfId="20" applyFont="1" applyFill="1" applyBorder="1">
      <alignment/>
      <protection/>
    </xf>
    <xf numFmtId="4" fontId="16" fillId="2" borderId="2" xfId="20" applyNumberFormat="1" applyFont="1" applyFill="1" applyBorder="1">
      <alignment/>
      <protection/>
    </xf>
    <xf numFmtId="0" fontId="5" fillId="8" borderId="6" xfId="20" applyFont="1" applyFill="1" applyBorder="1" applyAlignment="1">
      <alignment horizontal="left" vertical="justify"/>
      <protection/>
    </xf>
    <xf numFmtId="4" fontId="5" fillId="8" borderId="6" xfId="20" applyNumberFormat="1" applyFont="1" applyFill="1" applyBorder="1">
      <alignment/>
      <protection/>
    </xf>
    <xf numFmtId="1" fontId="6" fillId="6" borderId="6" xfId="20" applyNumberFormat="1" applyFont="1" applyFill="1" applyBorder="1" applyAlignment="1">
      <alignment horizontal="center"/>
      <protection/>
    </xf>
    <xf numFmtId="0" fontId="13" fillId="6" borderId="6" xfId="20" applyFont="1" applyFill="1" applyBorder="1">
      <alignment/>
      <protection/>
    </xf>
    <xf numFmtId="4" fontId="1" fillId="6" borderId="6" xfId="20" applyNumberFormat="1" applyFill="1" applyBorder="1">
      <alignment/>
      <protection/>
    </xf>
    <xf numFmtId="1" fontId="6" fillId="13" borderId="6" xfId="20" applyNumberFormat="1" applyFont="1" applyFill="1" applyBorder="1" applyAlignment="1">
      <alignment horizontal="center"/>
      <protection/>
    </xf>
    <xf numFmtId="0" fontId="13" fillId="13" borderId="6" xfId="20" applyFont="1" applyFill="1" applyBorder="1">
      <alignment/>
      <protection/>
    </xf>
    <xf numFmtId="4" fontId="1" fillId="13" borderId="6" xfId="20" applyNumberFormat="1" applyFill="1" applyBorder="1">
      <alignment/>
      <protection/>
    </xf>
    <xf numFmtId="1" fontId="3" fillId="0" borderId="6" xfId="20" applyNumberFormat="1" applyFont="1" applyBorder="1" applyAlignment="1">
      <alignment horizontal="center"/>
      <protection/>
    </xf>
    <xf numFmtId="0" fontId="23" fillId="0" borderId="6" xfId="20" applyFont="1" applyBorder="1" applyAlignment="1">
      <alignment horizontal="center" wrapText="1"/>
      <protection/>
    </xf>
    <xf numFmtId="4" fontId="24" fillId="0" borderId="6" xfId="20" applyNumberFormat="1" applyFont="1" applyBorder="1">
      <alignment/>
      <protection/>
    </xf>
    <xf numFmtId="4" fontId="3" fillId="0" borderId="6" xfId="20" applyNumberFormat="1" applyFont="1" applyBorder="1">
      <alignment/>
      <protection/>
    </xf>
    <xf numFmtId="4" fontId="25" fillId="2" borderId="2" xfId="20" applyNumberFormat="1" applyFont="1" applyFill="1" applyBorder="1">
      <alignment/>
      <protection/>
    </xf>
    <xf numFmtId="0" fontId="8" fillId="9" borderId="6" xfId="20" applyFont="1" applyFill="1" applyBorder="1" applyAlignment="1">
      <alignment horizontal="center" wrapText="1"/>
      <protection/>
    </xf>
    <xf numFmtId="0" fontId="2" fillId="0" borderId="0" xfId="20" applyFont="1">
      <alignment/>
      <protection/>
    </xf>
    <xf numFmtId="0" fontId="1" fillId="0" borderId="0" xfId="20" applyAlignment="1">
      <alignment horizontal="left" wrapText="1"/>
      <protection/>
    </xf>
    <xf numFmtId="0" fontId="7" fillId="0" borderId="0" xfId="20" applyFont="1" applyAlignment="1">
      <alignment horizontal="center" vertical="center"/>
      <protection/>
    </xf>
    <xf numFmtId="0" fontId="24" fillId="0" borderId="15" xfId="20" applyFont="1" applyBorder="1">
      <alignment/>
      <protection/>
    </xf>
    <xf numFmtId="0" fontId="6" fillId="0" borderId="16" xfId="20" applyFont="1" applyBorder="1">
      <alignment/>
      <protection/>
    </xf>
    <xf numFmtId="0" fontId="6" fillId="0" borderId="17" xfId="20" applyFont="1" applyBorder="1">
      <alignment/>
      <protection/>
    </xf>
    <xf numFmtId="0" fontId="6" fillId="0" borderId="18" xfId="20" applyFont="1" applyBorder="1">
      <alignment/>
      <protection/>
    </xf>
    <xf numFmtId="0" fontId="0" fillId="0" borderId="17" xfId="0" applyBorder="1"/>
    <xf numFmtId="0" fontId="6" fillId="0" borderId="0" xfId="20" applyFont="1" applyAlignment="1">
      <alignment horizontal="center"/>
      <protection/>
    </xf>
    <xf numFmtId="0" fontId="6" fillId="0" borderId="0" xfId="20" applyFont="1" applyAlignment="1">
      <alignment horizontal="left"/>
      <protection/>
    </xf>
    <xf numFmtId="0" fontId="1" fillId="0" borderId="0" xfId="20" applyAlignment="1">
      <alignment horizontal="left"/>
      <protection/>
    </xf>
    <xf numFmtId="0" fontId="1" fillId="0" borderId="18" xfId="20" applyBorder="1">
      <alignment/>
      <protection/>
    </xf>
    <xf numFmtId="0" fontId="1" fillId="0" borderId="17" xfId="20" applyBorder="1">
      <alignment/>
      <protection/>
    </xf>
    <xf numFmtId="0" fontId="2" fillId="0" borderId="0" xfId="20" applyFont="1" applyAlignment="1">
      <alignment horizontal="left"/>
      <protection/>
    </xf>
    <xf numFmtId="0" fontId="5" fillId="0" borderId="0" xfId="20" applyFont="1" applyAlignment="1">
      <alignment horizontal="center" wrapText="1"/>
      <protection/>
    </xf>
    <xf numFmtId="1" fontId="6" fillId="0" borderId="15" xfId="20" applyNumberFormat="1" applyFont="1" applyBorder="1" applyAlignment="1">
      <alignment horizontal="center" vertical="center"/>
      <protection/>
    </xf>
    <xf numFmtId="1" fontId="27" fillId="0" borderId="0" xfId="20" applyNumberFormat="1" applyFont="1">
      <alignment/>
      <protection/>
    </xf>
    <xf numFmtId="0" fontId="27" fillId="0" borderId="0" xfId="20" applyFont="1">
      <alignment/>
      <protection/>
    </xf>
    <xf numFmtId="0" fontId="29" fillId="0" borderId="0" xfId="0" applyFont="1"/>
    <xf numFmtId="0" fontId="27" fillId="2" borderId="0" xfId="20" applyFont="1" applyFill="1">
      <alignment/>
      <protection/>
    </xf>
    <xf numFmtId="4" fontId="27" fillId="0" borderId="0" xfId="20" applyNumberFormat="1" applyFont="1">
      <alignment/>
      <protection/>
    </xf>
    <xf numFmtId="1" fontId="27" fillId="0" borderId="19" xfId="20" applyNumberFormat="1" applyFont="1" applyBorder="1" applyAlignment="1">
      <alignment horizontal="left"/>
      <protection/>
    </xf>
    <xf numFmtId="4" fontId="27" fillId="0" borderId="19" xfId="20" applyNumberFormat="1" applyFont="1" applyBorder="1">
      <alignment/>
      <protection/>
    </xf>
    <xf numFmtId="0" fontId="27" fillId="0" borderId="0" xfId="20" applyFont="1" applyAlignment="1">
      <alignment horizontal="center"/>
      <protection/>
    </xf>
    <xf numFmtId="1" fontId="28" fillId="0" borderId="0" xfId="20" applyNumberFormat="1" applyFont="1">
      <alignment/>
      <protection/>
    </xf>
    <xf numFmtId="0" fontId="28" fillId="0" borderId="0" xfId="20" applyFont="1">
      <alignment/>
      <protection/>
    </xf>
    <xf numFmtId="4" fontId="28" fillId="0" borderId="0" xfId="20" applyNumberFormat="1" applyFont="1">
      <alignment/>
      <protection/>
    </xf>
    <xf numFmtId="0" fontId="28" fillId="2" borderId="0" xfId="20" applyFont="1" applyFill="1">
      <alignment/>
      <protection/>
    </xf>
    <xf numFmtId="1" fontId="27" fillId="0" borderId="0" xfId="20" applyNumberFormat="1" applyFont="1" applyAlignment="1">
      <alignment horizontal="left"/>
      <protection/>
    </xf>
    <xf numFmtId="0" fontId="28" fillId="0" borderId="0" xfId="20" applyFont="1" applyAlignment="1">
      <alignment horizontal="center"/>
      <protection/>
    </xf>
    <xf numFmtId="1" fontId="27" fillId="0" borderId="0" xfId="20" applyNumberFormat="1" applyFont="1" applyAlignment="1">
      <alignment horizontal="center"/>
      <protection/>
    </xf>
    <xf numFmtId="1" fontId="27" fillId="0" borderId="19" xfId="20" applyNumberFormat="1" applyFont="1" applyBorder="1">
      <alignment/>
      <protection/>
    </xf>
    <xf numFmtId="0" fontId="27" fillId="0" borderId="19" xfId="20" applyFont="1" applyBorder="1">
      <alignment/>
      <protection/>
    </xf>
    <xf numFmtId="0" fontId="27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26" fillId="0" borderId="0" xfId="0" applyFont="1"/>
    <xf numFmtId="0" fontId="0" fillId="0" borderId="0" xfId="0" applyAlignment="1">
      <alignment wrapText="1"/>
    </xf>
    <xf numFmtId="1" fontId="27" fillId="0" borderId="0" xfId="20" applyNumberFormat="1" applyFont="1" applyAlignment="1">
      <alignment wrapText="1"/>
      <protection/>
    </xf>
    <xf numFmtId="0" fontId="0" fillId="0" borderId="0" xfId="0" applyAlignment="1">
      <alignment wrapText="1"/>
    </xf>
    <xf numFmtId="0" fontId="27" fillId="0" borderId="0" xfId="20" applyFont="1" applyAlignment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bično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3F8F4-6518-4259-ADE5-7BC3125A70ED}">
  <dimension ref="A1:H382"/>
  <sheetViews>
    <sheetView tabSelected="1" workbookViewId="0" topLeftCell="A362">
      <selection activeCell="B380" sqref="B380"/>
    </sheetView>
  </sheetViews>
  <sheetFormatPr defaultColWidth="9.140625" defaultRowHeight="15"/>
  <cols>
    <col min="1" max="1" width="5.57421875" style="0" customWidth="1"/>
    <col min="2" max="2" width="52.140625" style="0" customWidth="1"/>
    <col min="3" max="3" width="14.57421875" style="0" customWidth="1"/>
    <col min="4" max="4" width="15.00390625" style="0" customWidth="1"/>
    <col min="5" max="5" width="11.7109375" style="0" customWidth="1"/>
    <col min="7" max="7" width="11.140625" style="0" customWidth="1"/>
  </cols>
  <sheetData>
    <row r="1" spans="1:7" ht="15">
      <c r="A1" s="211" t="s">
        <v>305</v>
      </c>
      <c r="B1" s="211"/>
      <c r="C1" s="211"/>
      <c r="D1" s="211"/>
      <c r="E1" s="211"/>
      <c r="F1" s="211"/>
      <c r="G1" s="211"/>
    </row>
    <row r="2" spans="1:7" ht="15">
      <c r="A2" s="198" t="s">
        <v>306</v>
      </c>
      <c r="B2" s="1"/>
      <c r="C2" s="1"/>
      <c r="D2" s="1"/>
      <c r="E2" s="1"/>
      <c r="F2" s="2"/>
      <c r="G2" s="2"/>
    </row>
    <row r="3" spans="1:7" ht="15">
      <c r="A3" s="212" t="s">
        <v>0</v>
      </c>
      <c r="B3" s="212"/>
      <c r="C3" s="212"/>
      <c r="D3" s="212"/>
      <c r="E3" s="212"/>
      <c r="F3" s="212"/>
      <c r="G3" s="212"/>
    </row>
    <row r="4" spans="1:7" ht="15">
      <c r="A4" s="212" t="s">
        <v>1</v>
      </c>
      <c r="B4" s="212"/>
      <c r="C4" s="212"/>
      <c r="D4" s="212"/>
      <c r="E4" s="212"/>
      <c r="F4" s="212"/>
      <c r="G4" s="212"/>
    </row>
    <row r="5" spans="1:7" ht="15">
      <c r="A5" s="3"/>
      <c r="B5" s="4"/>
      <c r="C5" s="4"/>
      <c r="D5" s="4"/>
      <c r="E5" s="4"/>
      <c r="F5" s="5"/>
      <c r="G5" s="5"/>
    </row>
    <row r="6" spans="1:7" ht="15">
      <c r="A6" s="206" t="s">
        <v>2</v>
      </c>
      <c r="B6" s="206"/>
      <c r="C6" s="206"/>
      <c r="D6" s="206"/>
      <c r="E6" s="206"/>
      <c r="F6" s="206"/>
      <c r="G6" s="206"/>
    </row>
    <row r="7" spans="1:7" ht="15">
      <c r="A7" s="6"/>
      <c r="B7" s="6"/>
      <c r="C7" s="6"/>
      <c r="D7" s="6"/>
      <c r="E7" s="6"/>
      <c r="F7" s="7"/>
      <c r="G7" s="7"/>
    </row>
    <row r="8" spans="1:7" ht="15.75">
      <c r="A8" s="8" t="s">
        <v>3</v>
      </c>
      <c r="B8" s="9"/>
      <c r="C8" s="9"/>
      <c r="D8" s="9"/>
      <c r="E8" s="9"/>
      <c r="F8" s="10"/>
      <c r="G8" s="10"/>
    </row>
    <row r="9" spans="1:7" ht="15.75">
      <c r="A9" s="9"/>
      <c r="B9" s="9"/>
      <c r="C9" s="9"/>
      <c r="D9" s="9"/>
      <c r="E9" s="9"/>
      <c r="F9" s="10"/>
      <c r="G9" s="10"/>
    </row>
    <row r="10" spans="1:7" ht="15">
      <c r="A10" s="206" t="s">
        <v>4</v>
      </c>
      <c r="B10" s="206"/>
      <c r="C10" s="206"/>
      <c r="D10" s="206"/>
      <c r="E10" s="206"/>
      <c r="F10" s="206"/>
      <c r="G10" s="206"/>
    </row>
    <row r="11" spans="1:7" ht="16.5" thickBot="1">
      <c r="A11" s="8" t="s">
        <v>5</v>
      </c>
      <c r="B11" s="9"/>
      <c r="C11" s="9"/>
      <c r="D11" s="9"/>
      <c r="E11" s="9"/>
      <c r="F11" s="10"/>
      <c r="G11" s="10"/>
    </row>
    <row r="12" spans="1:7" ht="48.75" thickBot="1">
      <c r="A12" s="9"/>
      <c r="B12" s="9"/>
      <c r="C12" s="11" t="s">
        <v>6</v>
      </c>
      <c r="D12" s="11" t="s">
        <v>7</v>
      </c>
      <c r="E12" s="12" t="s">
        <v>8</v>
      </c>
      <c r="F12" s="13" t="s">
        <v>9</v>
      </c>
      <c r="G12" s="13" t="s">
        <v>10</v>
      </c>
    </row>
    <row r="13" spans="1:7" ht="15.75">
      <c r="A13" s="9"/>
      <c r="B13" s="9"/>
      <c r="C13" s="14">
        <v>1</v>
      </c>
      <c r="D13" s="15">
        <v>2</v>
      </c>
      <c r="E13" s="16">
        <v>3</v>
      </c>
      <c r="F13" s="17">
        <v>4</v>
      </c>
      <c r="G13" s="18">
        <v>5</v>
      </c>
    </row>
    <row r="14" spans="1:7" ht="15">
      <c r="A14" s="19" t="s">
        <v>11</v>
      </c>
      <c r="B14" s="19"/>
      <c r="C14" s="20"/>
      <c r="D14" s="20"/>
      <c r="E14" s="20"/>
      <c r="F14" s="21"/>
      <c r="G14" s="21"/>
    </row>
    <row r="15" spans="1:7" ht="15">
      <c r="A15" s="204" t="s">
        <v>12</v>
      </c>
      <c r="B15" s="203"/>
      <c r="C15" s="22">
        <f>SUM(C35)</f>
        <v>503875.24056009017</v>
      </c>
      <c r="D15" s="22">
        <f aca="true" t="shared" si="0" ref="D15:E15">SUM(D35)</f>
        <v>1079030</v>
      </c>
      <c r="E15" s="22">
        <f t="shared" si="0"/>
        <v>509609.1700000001</v>
      </c>
      <c r="F15" s="23">
        <f>E15/C15*100</f>
        <v>101.13796610318386</v>
      </c>
      <c r="G15" s="23">
        <f>E15/D15*100</f>
        <v>47.22845240632792</v>
      </c>
    </row>
    <row r="16" spans="1:7" ht="15">
      <c r="A16" s="204" t="s">
        <v>13</v>
      </c>
      <c r="B16" s="203"/>
      <c r="C16" s="24">
        <f>C107</f>
        <v>443081.5581657708</v>
      </c>
      <c r="D16" s="24">
        <f aca="true" t="shared" si="1" ref="D16:E16">D107</f>
        <v>1382562</v>
      </c>
      <c r="E16" s="24">
        <f t="shared" si="1"/>
        <v>445053.82000000007</v>
      </c>
      <c r="F16" s="23">
        <f aca="true" t="shared" si="2" ref="F16:F17">E16/C16*100</f>
        <v>100.445123882473</v>
      </c>
      <c r="G16" s="23">
        <f aca="true" t="shared" si="3" ref="G16:G17">E16/D16*100</f>
        <v>32.19051442177639</v>
      </c>
    </row>
    <row r="17" spans="1:7" ht="15">
      <c r="A17" s="204" t="s">
        <v>14</v>
      </c>
      <c r="B17" s="203"/>
      <c r="C17" s="25">
        <f>SUM(C15-C16)</f>
        <v>60793.68239431939</v>
      </c>
      <c r="D17" s="25">
        <f aca="true" t="shared" si="4" ref="D17:E17">SUM(D15-D16)</f>
        <v>-303532</v>
      </c>
      <c r="E17" s="25">
        <f t="shared" si="4"/>
        <v>64555.350000000035</v>
      </c>
      <c r="F17" s="23">
        <f t="shared" si="2"/>
        <v>106.1875962394937</v>
      </c>
      <c r="G17" s="23">
        <f t="shared" si="3"/>
        <v>-21.26805410961613</v>
      </c>
    </row>
    <row r="18" spans="1:7" ht="15">
      <c r="A18" s="202" t="s">
        <v>15</v>
      </c>
      <c r="B18" s="203"/>
      <c r="C18" s="26"/>
      <c r="D18" s="26"/>
      <c r="E18" s="26"/>
      <c r="F18" s="23"/>
      <c r="G18" s="23"/>
    </row>
    <row r="19" spans="1:7" ht="15">
      <c r="A19" s="209" t="s">
        <v>16</v>
      </c>
      <c r="B19" s="210"/>
      <c r="C19" s="27">
        <v>0</v>
      </c>
      <c r="D19" s="27">
        <v>0</v>
      </c>
      <c r="E19" s="27">
        <v>0</v>
      </c>
      <c r="F19" s="23">
        <v>0</v>
      </c>
      <c r="G19" s="23">
        <v>0</v>
      </c>
    </row>
    <row r="20" spans="1:7" ht="15">
      <c r="A20" s="209" t="s">
        <v>17</v>
      </c>
      <c r="B20" s="210"/>
      <c r="C20" s="27">
        <v>0</v>
      </c>
      <c r="D20" s="27">
        <v>0</v>
      </c>
      <c r="E20" s="27">
        <v>0</v>
      </c>
      <c r="F20" s="23">
        <v>0</v>
      </c>
      <c r="G20" s="23">
        <v>0</v>
      </c>
    </row>
    <row r="21" spans="1:7" ht="15">
      <c r="A21" s="204" t="s">
        <v>14</v>
      </c>
      <c r="B21" s="203"/>
      <c r="C21" s="27">
        <f>SUM(C19-C20)</f>
        <v>0</v>
      </c>
      <c r="D21" s="27">
        <f aca="true" t="shared" si="5" ref="D21:E21">SUM(D19-D20)</f>
        <v>0</v>
      </c>
      <c r="E21" s="27">
        <f t="shared" si="5"/>
        <v>0</v>
      </c>
      <c r="F21" s="23">
        <v>0</v>
      </c>
      <c r="G21" s="23">
        <v>0</v>
      </c>
    </row>
    <row r="22" spans="1:7" ht="15">
      <c r="A22" s="202" t="s">
        <v>18</v>
      </c>
      <c r="B22" s="203"/>
      <c r="C22" s="22"/>
      <c r="D22" s="22"/>
      <c r="E22" s="22"/>
      <c r="F22" s="23"/>
      <c r="G22" s="23"/>
    </row>
    <row r="23" spans="1:7" ht="15">
      <c r="A23" s="204" t="s">
        <v>19</v>
      </c>
      <c r="B23" s="203"/>
      <c r="C23" s="27">
        <v>96827.66</v>
      </c>
      <c r="D23" s="27">
        <v>87537.06</v>
      </c>
      <c r="E23" s="27">
        <v>85943.19</v>
      </c>
      <c r="F23" s="23">
        <v>0</v>
      </c>
      <c r="G23" s="23">
        <v>0</v>
      </c>
    </row>
    <row r="24" spans="1:7" ht="15">
      <c r="A24" s="204" t="s">
        <v>20</v>
      </c>
      <c r="B24" s="205"/>
      <c r="C24" s="27">
        <f aca="true" t="shared" si="6" ref="C24:D24">C17+C23</f>
        <v>157621.3423943194</v>
      </c>
      <c r="D24" s="27">
        <f t="shared" si="6"/>
        <v>-215994.94</v>
      </c>
      <c r="E24" s="27">
        <f>E17+E23</f>
        <v>150498.54000000004</v>
      </c>
      <c r="F24" s="23">
        <v>0</v>
      </c>
      <c r="G24" s="23">
        <v>0</v>
      </c>
    </row>
    <row r="25" spans="1:7" ht="15">
      <c r="A25" s="19"/>
      <c r="C25" s="28"/>
      <c r="D25" s="28"/>
      <c r="E25" s="28"/>
      <c r="F25" s="29"/>
      <c r="G25" s="29"/>
    </row>
    <row r="26" spans="1:7" ht="15">
      <c r="A26" s="206" t="s">
        <v>21</v>
      </c>
      <c r="B26" s="206"/>
      <c r="C26" s="206"/>
      <c r="D26" s="206"/>
      <c r="E26" s="206"/>
      <c r="F26" s="206"/>
      <c r="G26" s="206"/>
    </row>
    <row r="27" spans="1:7" ht="15">
      <c r="A27" s="6"/>
      <c r="B27" s="30"/>
      <c r="C27" s="30"/>
      <c r="D27" s="30"/>
      <c r="E27" s="30"/>
      <c r="F27" s="31"/>
      <c r="G27" s="31"/>
    </row>
    <row r="28" spans="1:7" ht="15">
      <c r="A28" s="32" t="s">
        <v>22</v>
      </c>
      <c r="B28" s="32"/>
      <c r="C28" s="33">
        <f>E17</f>
        <v>64555.350000000035</v>
      </c>
      <c r="D28" s="8" t="s">
        <v>23</v>
      </c>
      <c r="E28" s="8"/>
      <c r="F28" s="34"/>
      <c r="G28" s="34"/>
    </row>
    <row r="29" spans="1:7" ht="15">
      <c r="A29" s="8"/>
      <c r="B29" s="8"/>
      <c r="C29" s="8"/>
      <c r="D29" s="8"/>
      <c r="E29" s="8"/>
      <c r="F29" s="34"/>
      <c r="G29" s="34"/>
    </row>
    <row r="30" spans="1:7" ht="15">
      <c r="A30" s="206" t="s">
        <v>24</v>
      </c>
      <c r="B30" s="206"/>
      <c r="C30" s="206"/>
      <c r="D30" s="206"/>
      <c r="E30" s="206"/>
      <c r="F30" s="206"/>
      <c r="G30" s="206"/>
    </row>
    <row r="31" spans="1:7" ht="15">
      <c r="A31" s="207" t="s">
        <v>25</v>
      </c>
      <c r="B31" s="208"/>
      <c r="C31" s="208"/>
      <c r="D31" s="208"/>
      <c r="E31" s="208"/>
      <c r="F31" s="208"/>
      <c r="G31" s="208"/>
    </row>
    <row r="32" spans="1:7" ht="15">
      <c r="A32" s="199" t="s">
        <v>26</v>
      </c>
      <c r="B32" s="199"/>
      <c r="C32" s="199"/>
      <c r="D32" s="199"/>
      <c r="E32" s="199"/>
      <c r="F32" s="199"/>
      <c r="G32" s="199"/>
    </row>
    <row r="33" spans="1:7" ht="16.5" thickBot="1">
      <c r="A33" s="200" t="s">
        <v>27</v>
      </c>
      <c r="B33" s="200"/>
      <c r="C33" s="200"/>
      <c r="D33" s="200"/>
      <c r="E33" s="200"/>
      <c r="F33" s="200"/>
      <c r="G33" s="200"/>
    </row>
    <row r="34" spans="1:7" ht="23.25" thickBot="1">
      <c r="A34" s="35"/>
      <c r="B34" s="36" t="s">
        <v>28</v>
      </c>
      <c r="C34" s="36"/>
      <c r="D34" s="37"/>
      <c r="E34" s="37"/>
      <c r="F34" s="38"/>
      <c r="G34" s="39"/>
    </row>
    <row r="35" spans="1:7" ht="19.5" thickBot="1">
      <c r="A35" s="40"/>
      <c r="B35" s="41" t="s">
        <v>29</v>
      </c>
      <c r="C35" s="42">
        <f>SUM(C37+C91+C99)</f>
        <v>503875.24056009017</v>
      </c>
      <c r="D35" s="42">
        <f>SUM(D37+D91+D99)</f>
        <v>1079030</v>
      </c>
      <c r="E35" s="42">
        <f>SUM(E37+E91+E99)</f>
        <v>509609.1700000001</v>
      </c>
      <c r="F35" s="43">
        <f>E35/C35*100</f>
        <v>101.13796610318386</v>
      </c>
      <c r="G35" s="44">
        <f>SUM(E35/D35)*100</f>
        <v>47.22845240632792</v>
      </c>
    </row>
    <row r="36" spans="1:7" ht="48.75" thickBot="1">
      <c r="A36" s="45" t="s">
        <v>30</v>
      </c>
      <c r="B36" s="46" t="s">
        <v>31</v>
      </c>
      <c r="C36" s="11" t="s">
        <v>6</v>
      </c>
      <c r="D36" s="11" t="s">
        <v>7</v>
      </c>
      <c r="E36" s="12" t="s">
        <v>8</v>
      </c>
      <c r="F36" s="47" t="s">
        <v>32</v>
      </c>
      <c r="G36" s="48" t="s">
        <v>33</v>
      </c>
    </row>
    <row r="37" spans="1:7" ht="15.75" thickTop="1">
      <c r="A37" s="49">
        <v>6</v>
      </c>
      <c r="B37" s="50" t="s">
        <v>34</v>
      </c>
      <c r="C37" s="51">
        <f>SUM(C38+C42+C56+C68+C81+C87)</f>
        <v>503012.5423053951</v>
      </c>
      <c r="D37" s="51">
        <f>SUM(D38+D42+D56+D68+D81+D87)</f>
        <v>987030</v>
      </c>
      <c r="E37" s="51">
        <f>SUM(E38+E42+E56+E68+E81+E87)</f>
        <v>509609.1700000001</v>
      </c>
      <c r="F37" s="52">
        <f>E37/C37*100</f>
        <v>101.3114240977713</v>
      </c>
      <c r="G37" s="52">
        <f>E37/D37*100</f>
        <v>51.63056543367477</v>
      </c>
    </row>
    <row r="38" spans="1:7" ht="15">
      <c r="A38" s="53">
        <v>61</v>
      </c>
      <c r="B38" s="54" t="s">
        <v>35</v>
      </c>
      <c r="C38" s="55">
        <f>SUM(C39:C41)</f>
        <v>73538.92096356758</v>
      </c>
      <c r="D38" s="55">
        <f>SUM(D39:D41)</f>
        <v>124500</v>
      </c>
      <c r="E38" s="55">
        <f>SUM(E39:E41)</f>
        <v>97061.90000000001</v>
      </c>
      <c r="F38" s="52">
        <f aca="true" t="shared" si="7" ref="F38:F101">E38/C38*100</f>
        <v>131.98711475258946</v>
      </c>
      <c r="G38" s="52">
        <f aca="true" t="shared" si="8" ref="G38:G101">E38/D38*100</f>
        <v>77.9613654618474</v>
      </c>
    </row>
    <row r="39" spans="1:7" ht="15">
      <c r="A39" s="56">
        <v>611</v>
      </c>
      <c r="B39" s="57" t="s">
        <v>36</v>
      </c>
      <c r="C39" s="58">
        <f>SUM(401332/7.5345)</f>
        <v>53265.9101466587</v>
      </c>
      <c r="D39" s="59">
        <v>95000</v>
      </c>
      <c r="E39" s="59">
        <v>88261.17</v>
      </c>
      <c r="F39" s="52">
        <f t="shared" si="7"/>
        <v>165.6991681114389</v>
      </c>
      <c r="G39" s="52">
        <f t="shared" si="8"/>
        <v>92.9064947368421</v>
      </c>
    </row>
    <row r="40" spans="1:7" ht="15">
      <c r="A40" s="56">
        <v>613</v>
      </c>
      <c r="B40" s="57" t="s">
        <v>37</v>
      </c>
      <c r="C40" s="58">
        <f>SUM(141841/7.5345)</f>
        <v>18825.53586833897</v>
      </c>
      <c r="D40" s="59">
        <v>25000</v>
      </c>
      <c r="E40" s="59">
        <v>7003.46</v>
      </c>
      <c r="F40" s="52">
        <f t="shared" si="7"/>
        <v>37.201915785985726</v>
      </c>
      <c r="G40" s="52">
        <f t="shared" si="8"/>
        <v>28.013840000000002</v>
      </c>
    </row>
    <row r="41" spans="1:7" ht="15">
      <c r="A41" s="56">
        <v>614</v>
      </c>
      <c r="B41" s="57" t="s">
        <v>38</v>
      </c>
      <c r="C41" s="58">
        <f>SUM(10906/7.5345)</f>
        <v>1447.4749485699117</v>
      </c>
      <c r="D41" s="59">
        <v>4500</v>
      </c>
      <c r="E41" s="59">
        <v>1797.27</v>
      </c>
      <c r="F41" s="52">
        <f t="shared" si="7"/>
        <v>124.16587947001652</v>
      </c>
      <c r="G41" s="52">
        <f t="shared" si="8"/>
        <v>39.93933333333333</v>
      </c>
    </row>
    <row r="42" spans="1:7" ht="28.5" customHeight="1">
      <c r="A42" s="60">
        <v>63</v>
      </c>
      <c r="B42" s="61" t="s">
        <v>39</v>
      </c>
      <c r="C42" s="62">
        <f>SUM(C43+C46+C48+C54)</f>
        <v>333324.44090516947</v>
      </c>
      <c r="D42" s="62">
        <f>SUM(D43+D46+D48+D54)</f>
        <v>670100</v>
      </c>
      <c r="E42" s="62">
        <f>SUM(E43+E46+E48+E54)</f>
        <v>315399.73000000004</v>
      </c>
      <c r="F42" s="52">
        <f t="shared" si="7"/>
        <v>94.62244326983841</v>
      </c>
      <c r="G42" s="52">
        <f t="shared" si="8"/>
        <v>47.067561557976425</v>
      </c>
    </row>
    <row r="43" spans="1:7" ht="15">
      <c r="A43" s="63">
        <v>633</v>
      </c>
      <c r="B43" s="64" t="s">
        <v>40</v>
      </c>
      <c r="C43" s="65">
        <f>SUM(C44:C45)</f>
        <v>322012.7413896078</v>
      </c>
      <c r="D43" s="65">
        <f>SUM(D44:D45)</f>
        <v>652500</v>
      </c>
      <c r="E43" s="65">
        <f>SUM(E44:E45)</f>
        <v>306510.03</v>
      </c>
      <c r="F43" s="52">
        <f t="shared" si="7"/>
        <v>95.18568385750588</v>
      </c>
      <c r="G43" s="52">
        <f t="shared" si="8"/>
        <v>46.97471724137932</v>
      </c>
    </row>
    <row r="44" spans="1:7" ht="15">
      <c r="A44" s="66">
        <v>633</v>
      </c>
      <c r="B44" s="67" t="s">
        <v>41</v>
      </c>
      <c r="C44" s="68">
        <f>SUM(1668738/7.5345)</f>
        <v>221479.59386820623</v>
      </c>
      <c r="D44" s="69">
        <v>427500</v>
      </c>
      <c r="E44" s="69">
        <v>197078.48</v>
      </c>
      <c r="F44" s="52">
        <f t="shared" si="7"/>
        <v>88.9826807779292</v>
      </c>
      <c r="G44" s="52">
        <f t="shared" si="8"/>
        <v>46.10022923976608</v>
      </c>
    </row>
    <row r="45" spans="1:7" ht="15">
      <c r="A45" s="66">
        <v>633</v>
      </c>
      <c r="B45" s="67" t="s">
        <v>42</v>
      </c>
      <c r="C45" s="68">
        <f>SUM(757467/7.5345)</f>
        <v>100533.14752140155</v>
      </c>
      <c r="D45" s="69">
        <v>225000</v>
      </c>
      <c r="E45" s="69">
        <v>109431.55</v>
      </c>
      <c r="F45" s="52">
        <f t="shared" si="7"/>
        <v>108.8512124587606</v>
      </c>
      <c r="G45" s="52">
        <f t="shared" si="8"/>
        <v>48.63624444444444</v>
      </c>
    </row>
    <row r="46" spans="1:7" ht="15">
      <c r="A46" s="63">
        <v>634</v>
      </c>
      <c r="B46" s="64" t="s">
        <v>43</v>
      </c>
      <c r="C46" s="65">
        <f>SUM(C47:C47)</f>
        <v>1314.4866945384563</v>
      </c>
      <c r="D46" s="65">
        <f>SUM(D47:D47)</f>
        <v>1716</v>
      </c>
      <c r="E46" s="65">
        <f>SUM(E47:E47)</f>
        <v>752.03</v>
      </c>
      <c r="F46" s="52">
        <f t="shared" si="7"/>
        <v>57.21092523222941</v>
      </c>
      <c r="G46" s="52">
        <f t="shared" si="8"/>
        <v>43.824592074592076</v>
      </c>
    </row>
    <row r="47" spans="1:7" ht="15">
      <c r="A47" s="70">
        <v>634</v>
      </c>
      <c r="B47" s="67" t="s">
        <v>44</v>
      </c>
      <c r="C47" s="71">
        <f>SUM(9904/7.5345)</f>
        <v>1314.4866945384563</v>
      </c>
      <c r="D47" s="71">
        <v>1716</v>
      </c>
      <c r="E47" s="71">
        <v>752.03</v>
      </c>
      <c r="F47" s="52">
        <f t="shared" si="7"/>
        <v>57.21092523222941</v>
      </c>
      <c r="G47" s="52">
        <f t="shared" si="8"/>
        <v>43.824592074592076</v>
      </c>
    </row>
    <row r="48" spans="1:7" ht="23.25" customHeight="1">
      <c r="A48" s="63">
        <v>636</v>
      </c>
      <c r="B48" s="72" t="s">
        <v>45</v>
      </c>
      <c r="C48" s="65">
        <f>SUM(C49:C52)</f>
        <v>2548.2779215608202</v>
      </c>
      <c r="D48" s="65">
        <f>SUM(D49:D52)</f>
        <v>9020</v>
      </c>
      <c r="E48" s="65">
        <f>SUM(E49:E52)</f>
        <v>3876.17</v>
      </c>
      <c r="F48" s="52">
        <f t="shared" si="7"/>
        <v>152.109389921875</v>
      </c>
      <c r="G48" s="52">
        <f t="shared" si="8"/>
        <v>42.9730598669623</v>
      </c>
    </row>
    <row r="49" spans="1:7" ht="15">
      <c r="A49" s="70">
        <v>636</v>
      </c>
      <c r="B49" s="67" t="s">
        <v>46</v>
      </c>
      <c r="C49" s="71">
        <f>SUM(3200/7.5345)</f>
        <v>424.71298692680335</v>
      </c>
      <c r="D49" s="71">
        <v>800</v>
      </c>
      <c r="E49" s="71">
        <v>1553.53</v>
      </c>
      <c r="F49" s="52">
        <f t="shared" si="7"/>
        <v>365.78349328125</v>
      </c>
      <c r="G49" s="52">
        <f t="shared" si="8"/>
        <v>194.19125</v>
      </c>
    </row>
    <row r="50" spans="1:7" ht="15">
      <c r="A50" s="70">
        <v>636</v>
      </c>
      <c r="B50" s="67" t="s">
        <v>47</v>
      </c>
      <c r="C50" s="71">
        <v>0</v>
      </c>
      <c r="D50" s="71">
        <v>270</v>
      </c>
      <c r="E50" s="71">
        <v>0</v>
      </c>
      <c r="F50" s="52" t="e">
        <f t="shared" si="7"/>
        <v>#DIV/0!</v>
      </c>
      <c r="G50" s="52">
        <f t="shared" si="8"/>
        <v>0</v>
      </c>
    </row>
    <row r="51" spans="1:7" ht="15">
      <c r="A51" s="70">
        <v>636</v>
      </c>
      <c r="B51" s="67" t="s">
        <v>48</v>
      </c>
      <c r="C51" s="71">
        <f>SUM(16000/7.5345)</f>
        <v>2123.564934634017</v>
      </c>
      <c r="D51" s="71">
        <v>6600</v>
      </c>
      <c r="E51" s="71">
        <v>2322.64</v>
      </c>
      <c r="F51" s="52">
        <f t="shared" si="7"/>
        <v>109.37456925</v>
      </c>
      <c r="G51" s="52">
        <f t="shared" si="8"/>
        <v>35.19151515151515</v>
      </c>
    </row>
    <row r="52" spans="1:7" ht="15.75" thickBot="1">
      <c r="A52" s="70">
        <v>636</v>
      </c>
      <c r="B52" s="67" t="s">
        <v>49</v>
      </c>
      <c r="C52" s="71">
        <v>0</v>
      </c>
      <c r="D52" s="71">
        <v>1350</v>
      </c>
      <c r="E52" s="71">
        <v>0</v>
      </c>
      <c r="F52" s="52" t="e">
        <f t="shared" si="7"/>
        <v>#DIV/0!</v>
      </c>
      <c r="G52" s="52">
        <f t="shared" si="8"/>
        <v>0</v>
      </c>
    </row>
    <row r="53" spans="1:7" ht="48.75" thickBot="1">
      <c r="A53" s="45" t="s">
        <v>30</v>
      </c>
      <c r="B53" s="46" t="s">
        <v>31</v>
      </c>
      <c r="C53" s="11" t="s">
        <v>6</v>
      </c>
      <c r="D53" s="11" t="s">
        <v>7</v>
      </c>
      <c r="E53" s="12" t="s">
        <v>8</v>
      </c>
      <c r="F53" s="47" t="s">
        <v>32</v>
      </c>
      <c r="G53" s="48" t="s">
        <v>33</v>
      </c>
    </row>
    <row r="54" spans="1:7" ht="62.25" customHeight="1" thickTop="1">
      <c r="A54" s="73">
        <v>638</v>
      </c>
      <c r="B54" s="197" t="s">
        <v>50</v>
      </c>
      <c r="C54" s="74">
        <f>SUM(C55:C55)</f>
        <v>7448.9348994624725</v>
      </c>
      <c r="D54" s="74">
        <f>SUM(D55:D55)</f>
        <v>6864</v>
      </c>
      <c r="E54" s="74">
        <f>SUM(E55:E55)</f>
        <v>4261.5</v>
      </c>
      <c r="F54" s="52">
        <f t="shared" si="7"/>
        <v>57.20952132777421</v>
      </c>
      <c r="G54" s="52">
        <f t="shared" si="8"/>
        <v>62.08479020979021</v>
      </c>
    </row>
    <row r="55" spans="1:7" ht="53.25" customHeight="1">
      <c r="A55" s="70">
        <v>638</v>
      </c>
      <c r="B55" s="75" t="s">
        <v>51</v>
      </c>
      <c r="C55" s="71">
        <f>SUM(56124/7.5345)</f>
        <v>7448.9348994624725</v>
      </c>
      <c r="D55" s="71">
        <v>6864</v>
      </c>
      <c r="E55" s="71">
        <v>4261.5</v>
      </c>
      <c r="F55" s="52">
        <f t="shared" si="7"/>
        <v>57.20952132777421</v>
      </c>
      <c r="G55" s="52">
        <f t="shared" si="8"/>
        <v>62.08479020979021</v>
      </c>
    </row>
    <row r="56" spans="1:7" ht="15">
      <c r="A56" s="53">
        <v>64</v>
      </c>
      <c r="B56" s="54" t="s">
        <v>52</v>
      </c>
      <c r="C56" s="55">
        <f>SUM(C57+C58+C59)</f>
        <v>33208.308447806754</v>
      </c>
      <c r="D56" s="55">
        <f aca="true" t="shared" si="9" ref="D56:E56">SUM(D57+D58+D59)</f>
        <v>61000</v>
      </c>
      <c r="E56" s="55">
        <f t="shared" si="9"/>
        <v>35744.7</v>
      </c>
      <c r="F56" s="52">
        <f t="shared" si="7"/>
        <v>107.63782219193632</v>
      </c>
      <c r="G56" s="52">
        <f t="shared" si="8"/>
        <v>58.597868852459015</v>
      </c>
    </row>
    <row r="57" spans="1:7" ht="15">
      <c r="A57" s="76">
        <v>641</v>
      </c>
      <c r="B57" s="77" t="s">
        <v>53</v>
      </c>
      <c r="C57" s="78">
        <f>SUM(186/7.5345)</f>
        <v>24.686442365120445</v>
      </c>
      <c r="D57" s="78">
        <v>200</v>
      </c>
      <c r="E57" s="78">
        <v>2.02</v>
      </c>
      <c r="F57" s="52">
        <f t="shared" si="7"/>
        <v>8.182629032258065</v>
      </c>
      <c r="G57" s="52">
        <f t="shared" si="8"/>
        <v>1.01</v>
      </c>
    </row>
    <row r="58" spans="1:7" ht="15">
      <c r="A58" s="76">
        <v>641</v>
      </c>
      <c r="B58" s="77" t="s">
        <v>54</v>
      </c>
      <c r="C58" s="78">
        <v>0</v>
      </c>
      <c r="D58" s="78">
        <v>0</v>
      </c>
      <c r="E58" s="78">
        <v>0</v>
      </c>
      <c r="F58" s="52" t="e">
        <f t="shared" si="7"/>
        <v>#DIV/0!</v>
      </c>
      <c r="G58" s="52" t="e">
        <f t="shared" si="8"/>
        <v>#DIV/0!</v>
      </c>
    </row>
    <row r="59" spans="1:7" ht="15">
      <c r="A59" s="63">
        <v>642</v>
      </c>
      <c r="B59" s="64" t="s">
        <v>55</v>
      </c>
      <c r="C59" s="65">
        <f>SUM(250022/7.5345)</f>
        <v>33183.62200544163</v>
      </c>
      <c r="D59" s="65">
        <v>60800</v>
      </c>
      <c r="E59" s="65">
        <v>35742.68</v>
      </c>
      <c r="F59" s="52">
        <f t="shared" si="7"/>
        <v>107.71181034468967</v>
      </c>
      <c r="G59" s="52">
        <f t="shared" si="8"/>
        <v>58.78730263157895</v>
      </c>
    </row>
    <row r="60" spans="1:7" ht="15">
      <c r="A60" s="79">
        <v>642</v>
      </c>
      <c r="B60" s="80" t="s">
        <v>56</v>
      </c>
      <c r="C60" s="81">
        <f>SUM(C61:C63)</f>
        <v>32786.51536266507</v>
      </c>
      <c r="D60" s="81">
        <f aca="true" t="shared" si="10" ref="D60:E60">SUM(D61:D63)</f>
        <v>49800</v>
      </c>
      <c r="E60" s="81">
        <f t="shared" si="10"/>
        <v>28268.28</v>
      </c>
      <c r="F60" s="52">
        <f t="shared" si="7"/>
        <v>86.21922667692183</v>
      </c>
      <c r="G60" s="52">
        <f t="shared" si="8"/>
        <v>56.76361445783132</v>
      </c>
    </row>
    <row r="61" spans="1:7" ht="15">
      <c r="A61" s="70">
        <v>642</v>
      </c>
      <c r="B61" s="67" t="s">
        <v>57</v>
      </c>
      <c r="C61" s="82">
        <f>SUM(62971/7.5345)</f>
        <v>8357.687968677417</v>
      </c>
      <c r="D61" s="71">
        <v>30000</v>
      </c>
      <c r="E61" s="83">
        <v>28268.28</v>
      </c>
      <c r="F61" s="52">
        <f t="shared" si="7"/>
        <v>338.23086128535357</v>
      </c>
      <c r="G61" s="52">
        <f t="shared" si="8"/>
        <v>94.2276</v>
      </c>
    </row>
    <row r="62" spans="1:7" ht="15">
      <c r="A62" s="84">
        <v>642</v>
      </c>
      <c r="B62" s="67" t="s">
        <v>58</v>
      </c>
      <c r="C62" s="82">
        <v>0</v>
      </c>
      <c r="D62" s="71">
        <v>800</v>
      </c>
      <c r="E62" s="83"/>
      <c r="F62" s="52"/>
      <c r="G62" s="52"/>
    </row>
    <row r="63" spans="1:7" ht="15">
      <c r="A63" s="70">
        <v>642</v>
      </c>
      <c r="B63" s="67" t="s">
        <v>59</v>
      </c>
      <c r="C63" s="82">
        <f>SUM(184059/7.5345)</f>
        <v>24428.827393987656</v>
      </c>
      <c r="D63" s="71">
        <v>19000</v>
      </c>
      <c r="E63" s="83">
        <v>0</v>
      </c>
      <c r="F63" s="52">
        <f t="shared" si="7"/>
        <v>0</v>
      </c>
      <c r="G63" s="52">
        <f t="shared" si="8"/>
        <v>0</v>
      </c>
    </row>
    <row r="64" spans="1:7" ht="15">
      <c r="A64" s="85">
        <v>642</v>
      </c>
      <c r="B64" s="86" t="s">
        <v>60</v>
      </c>
      <c r="C64" s="87">
        <f>SUM(C65)</f>
        <v>0</v>
      </c>
      <c r="D64" s="87">
        <f aca="true" t="shared" si="11" ref="D64:E64">SUM(D65)</f>
        <v>9000</v>
      </c>
      <c r="E64" s="87">
        <f t="shared" si="11"/>
        <v>7474.4</v>
      </c>
      <c r="F64" s="52" t="e">
        <f t="shared" si="7"/>
        <v>#DIV/0!</v>
      </c>
      <c r="G64" s="52">
        <f t="shared" si="8"/>
        <v>83.04888888888888</v>
      </c>
    </row>
    <row r="65" spans="1:7" ht="15">
      <c r="A65" s="70">
        <v>642</v>
      </c>
      <c r="B65" s="88" t="s">
        <v>60</v>
      </c>
      <c r="C65" s="89">
        <v>0</v>
      </c>
      <c r="D65" s="83">
        <v>9000</v>
      </c>
      <c r="E65" s="83">
        <v>7474.4</v>
      </c>
      <c r="F65" s="52" t="e">
        <f t="shared" si="7"/>
        <v>#DIV/0!</v>
      </c>
      <c r="G65" s="52">
        <f t="shared" si="8"/>
        <v>83.04888888888888</v>
      </c>
    </row>
    <row r="66" spans="1:7" ht="15">
      <c r="A66" s="90">
        <v>642</v>
      </c>
      <c r="B66" s="86" t="s">
        <v>61</v>
      </c>
      <c r="C66" s="91">
        <f>SUM(C67)</f>
        <v>397.1066427765611</v>
      </c>
      <c r="D66" s="91">
        <f aca="true" t="shared" si="12" ref="D66:E66">SUM(D67)</f>
        <v>2000</v>
      </c>
      <c r="E66" s="91">
        <f t="shared" si="12"/>
        <v>0</v>
      </c>
      <c r="F66" s="52">
        <f t="shared" si="7"/>
        <v>0</v>
      </c>
      <c r="G66" s="52">
        <f t="shared" si="8"/>
        <v>0</v>
      </c>
    </row>
    <row r="67" spans="1:7" ht="15">
      <c r="A67" s="70">
        <v>642</v>
      </c>
      <c r="B67" s="88" t="s">
        <v>62</v>
      </c>
      <c r="C67" s="89">
        <f>SUM(2992/7.5345)</f>
        <v>397.1066427765611</v>
      </c>
      <c r="D67" s="83">
        <v>2000</v>
      </c>
      <c r="E67" s="83">
        <v>0</v>
      </c>
      <c r="F67" s="52">
        <f t="shared" si="7"/>
        <v>0</v>
      </c>
      <c r="G67" s="52">
        <f t="shared" si="8"/>
        <v>0</v>
      </c>
    </row>
    <row r="68" spans="1:7" ht="45" customHeight="1">
      <c r="A68" s="60">
        <v>65</v>
      </c>
      <c r="B68" s="61" t="s">
        <v>63</v>
      </c>
      <c r="C68" s="62">
        <f>SUM(C69+C73+C78)</f>
        <v>57471.36505408454</v>
      </c>
      <c r="D68" s="62">
        <f aca="true" t="shared" si="13" ref="D68:E68">SUM(D69+D73+D78)</f>
        <v>112630</v>
      </c>
      <c r="E68" s="62">
        <f t="shared" si="13"/>
        <v>57857.95</v>
      </c>
      <c r="F68" s="52">
        <f t="shared" si="7"/>
        <v>100.67265662743812</v>
      </c>
      <c r="G68" s="52">
        <f t="shared" si="8"/>
        <v>51.369928083103964</v>
      </c>
    </row>
    <row r="69" spans="1:7" ht="30.75" customHeight="1">
      <c r="A69" s="92">
        <v>651</v>
      </c>
      <c r="B69" s="93" t="s">
        <v>64</v>
      </c>
      <c r="C69" s="94">
        <f>SUM(C70:C72)</f>
        <v>15215.873647886388</v>
      </c>
      <c r="D69" s="94">
        <f aca="true" t="shared" si="14" ref="D69:E69">SUM(D70:D72)</f>
        <v>21250</v>
      </c>
      <c r="E69" s="94">
        <f t="shared" si="14"/>
        <v>10063.88</v>
      </c>
      <c r="F69" s="52">
        <f t="shared" si="7"/>
        <v>66.14066489306025</v>
      </c>
      <c r="G69" s="52">
        <f t="shared" si="8"/>
        <v>47.35943529411764</v>
      </c>
    </row>
    <row r="70" spans="1:7" ht="20.25" customHeight="1">
      <c r="A70" s="95">
        <v>651</v>
      </c>
      <c r="B70" s="96" t="s">
        <v>65</v>
      </c>
      <c r="C70" s="97">
        <v>0</v>
      </c>
      <c r="D70" s="98">
        <v>200</v>
      </c>
      <c r="E70" s="98">
        <v>0</v>
      </c>
      <c r="F70" s="52" t="e">
        <f t="shared" si="7"/>
        <v>#DIV/0!</v>
      </c>
      <c r="G70" s="52">
        <f t="shared" si="8"/>
        <v>0</v>
      </c>
    </row>
    <row r="71" spans="1:7" ht="15.75" customHeight="1">
      <c r="A71" s="95">
        <v>651</v>
      </c>
      <c r="B71" s="96" t="s">
        <v>66</v>
      </c>
      <c r="C71" s="97">
        <v>0</v>
      </c>
      <c r="D71" s="98">
        <v>50</v>
      </c>
      <c r="E71" s="98">
        <v>0</v>
      </c>
      <c r="F71" s="52" t="e">
        <f t="shared" si="7"/>
        <v>#DIV/0!</v>
      </c>
      <c r="G71" s="52">
        <f t="shared" si="8"/>
        <v>0</v>
      </c>
    </row>
    <row r="72" spans="1:7" ht="17.25" customHeight="1">
      <c r="A72" s="99">
        <v>651</v>
      </c>
      <c r="B72" s="100" t="s">
        <v>67</v>
      </c>
      <c r="C72" s="101">
        <f>SUM(114644/7.5345)</f>
        <v>15215.873647886388</v>
      </c>
      <c r="D72" s="102">
        <v>21000</v>
      </c>
      <c r="E72" s="102">
        <v>10063.88</v>
      </c>
      <c r="F72" s="52">
        <f t="shared" si="7"/>
        <v>66.14066489306025</v>
      </c>
      <c r="G72" s="52">
        <f t="shared" si="8"/>
        <v>47.92323809523809</v>
      </c>
    </row>
    <row r="73" spans="1:7" ht="15">
      <c r="A73" s="63">
        <v>652</v>
      </c>
      <c r="B73" s="64" t="s">
        <v>68</v>
      </c>
      <c r="C73" s="65">
        <f>SUM(C74:C77)</f>
        <v>12443.426902913263</v>
      </c>
      <c r="D73" s="65">
        <f aca="true" t="shared" si="15" ref="D73:E73">SUM(D74:D77)</f>
        <v>35980</v>
      </c>
      <c r="E73" s="65">
        <f t="shared" si="15"/>
        <v>11522.35</v>
      </c>
      <c r="F73" s="52">
        <f t="shared" si="7"/>
        <v>92.59788392619063</v>
      </c>
      <c r="G73" s="52">
        <f t="shared" si="8"/>
        <v>32.02431906614786</v>
      </c>
    </row>
    <row r="74" spans="1:7" ht="15">
      <c r="A74" s="99">
        <v>652</v>
      </c>
      <c r="B74" s="103" t="s">
        <v>69</v>
      </c>
      <c r="C74" s="104">
        <f>SUM(100/7.5345)</f>
        <v>13.272280841462605</v>
      </c>
      <c r="D74" s="105">
        <v>30</v>
      </c>
      <c r="E74" s="105">
        <v>21.05</v>
      </c>
      <c r="F74" s="52">
        <f t="shared" si="7"/>
        <v>158.601225</v>
      </c>
      <c r="G74" s="52">
        <f t="shared" si="8"/>
        <v>70.16666666666667</v>
      </c>
    </row>
    <row r="75" spans="1:7" ht="15">
      <c r="A75" s="99">
        <v>652</v>
      </c>
      <c r="B75" s="103" t="s">
        <v>70</v>
      </c>
      <c r="C75" s="104">
        <f>SUM(90150/7.5345)</f>
        <v>11964.961178578538</v>
      </c>
      <c r="D75" s="105">
        <v>35000</v>
      </c>
      <c r="E75" s="105">
        <v>11211.12</v>
      </c>
      <c r="F75" s="52">
        <f t="shared" si="7"/>
        <v>93.69959361064892</v>
      </c>
      <c r="G75" s="52">
        <f t="shared" si="8"/>
        <v>32.03177142857143</v>
      </c>
    </row>
    <row r="76" spans="1:7" ht="15">
      <c r="A76" s="99">
        <v>652</v>
      </c>
      <c r="B76" s="103" t="s">
        <v>71</v>
      </c>
      <c r="C76" s="104">
        <f>SUM(505/7.5345)</f>
        <v>67.02501824938615</v>
      </c>
      <c r="D76" s="105">
        <v>150</v>
      </c>
      <c r="E76" s="105">
        <v>0</v>
      </c>
      <c r="F76" s="52">
        <f t="shared" si="7"/>
        <v>0</v>
      </c>
      <c r="G76" s="52">
        <f t="shared" si="8"/>
        <v>0</v>
      </c>
    </row>
    <row r="77" spans="1:7" ht="15">
      <c r="A77" s="99">
        <v>652</v>
      </c>
      <c r="B77" s="103" t="s">
        <v>72</v>
      </c>
      <c r="C77" s="104">
        <f>SUM(3000/7.5345)</f>
        <v>398.1684252438781</v>
      </c>
      <c r="D77" s="105">
        <v>800</v>
      </c>
      <c r="E77" s="105">
        <v>290.18</v>
      </c>
      <c r="F77" s="52">
        <f t="shared" si="7"/>
        <v>72.878707</v>
      </c>
      <c r="G77" s="52">
        <f t="shared" si="8"/>
        <v>36.2725</v>
      </c>
    </row>
    <row r="78" spans="1:7" ht="48.75">
      <c r="A78" s="63">
        <v>653</v>
      </c>
      <c r="B78" s="93" t="s">
        <v>73</v>
      </c>
      <c r="C78" s="65">
        <f>SUM(C79:C80)</f>
        <v>29812.064503284888</v>
      </c>
      <c r="D78" s="65">
        <f>SUM(D79:D80)</f>
        <v>55400</v>
      </c>
      <c r="E78" s="65">
        <f>SUM(E79:E80)</f>
        <v>36271.72</v>
      </c>
      <c r="F78" s="52">
        <f t="shared" si="7"/>
        <v>121.66792405807168</v>
      </c>
      <c r="G78" s="52">
        <f t="shared" si="8"/>
        <v>65.47241877256317</v>
      </c>
    </row>
    <row r="79" spans="1:7" ht="18" customHeight="1">
      <c r="A79" s="70">
        <v>653</v>
      </c>
      <c r="B79" s="75" t="s">
        <v>74</v>
      </c>
      <c r="C79" s="82">
        <f>SUM(2072/7.5345)</f>
        <v>275.00165903510515</v>
      </c>
      <c r="D79" s="83">
        <v>400</v>
      </c>
      <c r="E79" s="83">
        <v>5018.81</v>
      </c>
      <c r="F79" s="52">
        <f t="shared" si="7"/>
        <v>1825.010808156371</v>
      </c>
      <c r="G79" s="52">
        <f t="shared" si="8"/>
        <v>1254.7025</v>
      </c>
    </row>
    <row r="80" spans="1:7" ht="15">
      <c r="A80" s="70">
        <v>653</v>
      </c>
      <c r="B80" s="67" t="s">
        <v>75</v>
      </c>
      <c r="C80" s="82">
        <f>SUM(222547/7.5345)</f>
        <v>29537.062844249784</v>
      </c>
      <c r="D80" s="83">
        <v>55000</v>
      </c>
      <c r="E80" s="83">
        <v>31252.91</v>
      </c>
      <c r="F80" s="52">
        <f t="shared" si="7"/>
        <v>105.80913263041066</v>
      </c>
      <c r="G80" s="52">
        <f t="shared" si="8"/>
        <v>56.82347272727273</v>
      </c>
    </row>
    <row r="81" spans="1:7" ht="15">
      <c r="A81" s="106">
        <v>66</v>
      </c>
      <c r="B81" s="54" t="s">
        <v>61</v>
      </c>
      <c r="C81" s="107">
        <f>SUM(C82+C85)</f>
        <v>5456.234653925277</v>
      </c>
      <c r="D81" s="107">
        <f aca="true" t="shared" si="16" ref="D81:E81">SUM(D82+D85)</f>
        <v>12600</v>
      </c>
      <c r="E81" s="107">
        <f t="shared" si="16"/>
        <v>3544.89</v>
      </c>
      <c r="F81" s="52">
        <f t="shared" si="7"/>
        <v>64.96952981026514</v>
      </c>
      <c r="G81" s="52">
        <f t="shared" si="8"/>
        <v>28.13404761904762</v>
      </c>
    </row>
    <row r="82" spans="1:7" ht="15">
      <c r="A82" s="108">
        <v>661</v>
      </c>
      <c r="B82" s="64" t="s">
        <v>76</v>
      </c>
      <c r="C82" s="109">
        <f>SUM(C83:C84)</f>
        <v>5190.789037096025</v>
      </c>
      <c r="D82" s="109">
        <f>SUM(D83:D84)</f>
        <v>12600</v>
      </c>
      <c r="E82" s="109">
        <f>SUM(E83:E84)</f>
        <v>3477.89</v>
      </c>
      <c r="F82" s="52">
        <f t="shared" si="7"/>
        <v>67.0011818077218</v>
      </c>
      <c r="G82" s="52">
        <f t="shared" si="8"/>
        <v>27.602301587301586</v>
      </c>
    </row>
    <row r="83" spans="1:7" ht="15">
      <c r="A83" s="66">
        <v>661</v>
      </c>
      <c r="B83" s="67" t="s">
        <v>77</v>
      </c>
      <c r="C83" s="59">
        <f>SUM(16960/7.5345)</f>
        <v>2250.9788307120575</v>
      </c>
      <c r="D83" s="59">
        <v>6600</v>
      </c>
      <c r="E83" s="59">
        <v>49.73</v>
      </c>
      <c r="F83" s="52">
        <f t="shared" si="7"/>
        <v>2.2092611143867926</v>
      </c>
      <c r="G83" s="52">
        <f t="shared" si="8"/>
        <v>0.7534848484848484</v>
      </c>
    </row>
    <row r="84" spans="1:7" ht="15">
      <c r="A84" s="66">
        <v>661</v>
      </c>
      <c r="B84" s="110" t="s">
        <v>78</v>
      </c>
      <c r="C84" s="111">
        <f>SUM(22150/7.5345)</f>
        <v>2939.810206383967</v>
      </c>
      <c r="D84" s="59">
        <v>6000</v>
      </c>
      <c r="E84" s="59">
        <v>3428.16</v>
      </c>
      <c r="F84" s="52">
        <f t="shared" si="7"/>
        <v>116.6116095711061</v>
      </c>
      <c r="G84" s="52">
        <f t="shared" si="8"/>
        <v>57.135999999999996</v>
      </c>
    </row>
    <row r="85" spans="1:7" ht="15">
      <c r="A85" s="108">
        <v>663</v>
      </c>
      <c r="B85" s="64" t="s">
        <v>79</v>
      </c>
      <c r="C85" s="109">
        <f>SUM(C86:C86)</f>
        <v>265.4456168292521</v>
      </c>
      <c r="D85" s="109">
        <f>SUM(D86:D86)</f>
        <v>0</v>
      </c>
      <c r="E85" s="109">
        <f>SUM(E86:E86)</f>
        <v>67</v>
      </c>
      <c r="F85" s="52">
        <f t="shared" si="7"/>
        <v>25.240575</v>
      </c>
      <c r="G85" s="52" t="e">
        <f t="shared" si="8"/>
        <v>#DIV/0!</v>
      </c>
    </row>
    <row r="86" spans="1:7" ht="15">
      <c r="A86" s="66">
        <v>663</v>
      </c>
      <c r="B86" s="67" t="s">
        <v>80</v>
      </c>
      <c r="C86" s="59">
        <f>SUM(2000/7.5345)</f>
        <v>265.4456168292521</v>
      </c>
      <c r="D86" s="59">
        <v>0</v>
      </c>
      <c r="E86" s="59">
        <v>67</v>
      </c>
      <c r="F86" s="52">
        <f t="shared" si="7"/>
        <v>25.240575</v>
      </c>
      <c r="G86" s="52" t="e">
        <f t="shared" si="8"/>
        <v>#DIV/0!</v>
      </c>
    </row>
    <row r="87" spans="1:7" ht="15">
      <c r="A87" s="106">
        <v>68</v>
      </c>
      <c r="B87" s="54" t="s">
        <v>81</v>
      </c>
      <c r="C87" s="107">
        <f>SUM(C88)</f>
        <v>13.272280841462605</v>
      </c>
      <c r="D87" s="107">
        <f aca="true" t="shared" si="17" ref="D87:E87">SUM(D88)</f>
        <v>6200</v>
      </c>
      <c r="E87" s="107">
        <f t="shared" si="17"/>
        <v>0</v>
      </c>
      <c r="F87" s="52">
        <f t="shared" si="7"/>
        <v>0</v>
      </c>
      <c r="G87" s="52">
        <f t="shared" si="8"/>
        <v>0</v>
      </c>
    </row>
    <row r="88" spans="1:7" ht="15">
      <c r="A88" s="108">
        <v>681</v>
      </c>
      <c r="B88" s="64" t="s">
        <v>82</v>
      </c>
      <c r="C88" s="109">
        <f>C89+C90</f>
        <v>13.272280841462605</v>
      </c>
      <c r="D88" s="109">
        <f aca="true" t="shared" si="18" ref="D88:E88">D89+D90</f>
        <v>6200</v>
      </c>
      <c r="E88" s="109">
        <f t="shared" si="18"/>
        <v>0</v>
      </c>
      <c r="F88" s="52">
        <f t="shared" si="7"/>
        <v>0</v>
      </c>
      <c r="G88" s="112"/>
    </row>
    <row r="89" spans="1:7" ht="15">
      <c r="A89" s="66">
        <v>681</v>
      </c>
      <c r="B89" s="67" t="s">
        <v>83</v>
      </c>
      <c r="C89" s="59">
        <v>0</v>
      </c>
      <c r="D89" s="102">
        <v>6000</v>
      </c>
      <c r="E89" s="102">
        <v>0</v>
      </c>
      <c r="F89" s="52" t="e">
        <f t="shared" si="7"/>
        <v>#DIV/0!</v>
      </c>
      <c r="G89" s="52">
        <f>E88/D88*100</f>
        <v>0</v>
      </c>
    </row>
    <row r="90" spans="1:7" ht="15">
      <c r="A90" s="66">
        <v>681</v>
      </c>
      <c r="B90" s="67" t="s">
        <v>84</v>
      </c>
      <c r="C90" s="59">
        <f>SUM(100/7.5345)</f>
        <v>13.272280841462605</v>
      </c>
      <c r="D90" s="59">
        <v>200</v>
      </c>
      <c r="E90" s="59">
        <v>0</v>
      </c>
      <c r="F90" s="52">
        <f t="shared" si="7"/>
        <v>0</v>
      </c>
      <c r="G90" s="52">
        <f aca="true" t="shared" si="19" ref="G90">E90/D90*100</f>
        <v>0</v>
      </c>
    </row>
    <row r="91" spans="1:7" ht="24.75" customHeight="1">
      <c r="A91" s="113">
        <v>7</v>
      </c>
      <c r="B91" s="114" t="s">
        <v>85</v>
      </c>
      <c r="C91" s="115">
        <f>SUM(C92+C95)</f>
        <v>862.6982546950693</v>
      </c>
      <c r="D91" s="115">
        <f aca="true" t="shared" si="20" ref="D91:E91">SUM(D92+D95)</f>
        <v>75000</v>
      </c>
      <c r="E91" s="115">
        <f t="shared" si="20"/>
        <v>0</v>
      </c>
      <c r="F91" s="52">
        <f t="shared" si="7"/>
        <v>0</v>
      </c>
      <c r="G91" s="52">
        <f t="shared" si="8"/>
        <v>0</v>
      </c>
    </row>
    <row r="92" spans="1:7" ht="15">
      <c r="A92" s="53">
        <v>71</v>
      </c>
      <c r="B92" s="54" t="s">
        <v>86</v>
      </c>
      <c r="C92" s="55">
        <f>SUM(C93)</f>
        <v>862.6982546950693</v>
      </c>
      <c r="D92" s="55">
        <f aca="true" t="shared" si="21" ref="C92:E97">SUM(D93)</f>
        <v>45000</v>
      </c>
      <c r="E92" s="55">
        <f t="shared" si="21"/>
        <v>0</v>
      </c>
      <c r="F92" s="52">
        <f t="shared" si="7"/>
        <v>0</v>
      </c>
      <c r="G92" s="52">
        <f t="shared" si="8"/>
        <v>0</v>
      </c>
    </row>
    <row r="93" spans="1:7" ht="18.75" customHeight="1">
      <c r="A93" s="63">
        <v>711</v>
      </c>
      <c r="B93" s="93" t="s">
        <v>87</v>
      </c>
      <c r="C93" s="65">
        <f>SUM(C94)</f>
        <v>862.6982546950693</v>
      </c>
      <c r="D93" s="65">
        <f t="shared" si="21"/>
        <v>45000</v>
      </c>
      <c r="E93" s="65">
        <f t="shared" si="21"/>
        <v>0</v>
      </c>
      <c r="F93" s="52">
        <f t="shared" si="7"/>
        <v>0</v>
      </c>
      <c r="G93" s="52">
        <f t="shared" si="8"/>
        <v>0</v>
      </c>
    </row>
    <row r="94" spans="1:7" ht="15">
      <c r="A94" s="66">
        <v>711</v>
      </c>
      <c r="B94" s="67" t="s">
        <v>88</v>
      </c>
      <c r="C94" s="59">
        <f>SUM(6500/7.5345)</f>
        <v>862.6982546950693</v>
      </c>
      <c r="D94" s="59">
        <v>45000</v>
      </c>
      <c r="E94" s="59">
        <v>0</v>
      </c>
      <c r="F94" s="52">
        <f t="shared" si="7"/>
        <v>0</v>
      </c>
      <c r="G94" s="52">
        <f t="shared" si="8"/>
        <v>0</v>
      </c>
    </row>
    <row r="95" spans="1:7" ht="15">
      <c r="A95" s="53">
        <v>72</v>
      </c>
      <c r="B95" s="54" t="s">
        <v>89</v>
      </c>
      <c r="C95" s="55">
        <f>SUM(C97+C96)</f>
        <v>0</v>
      </c>
      <c r="D95" s="55">
        <f>SUM(D97+D96)</f>
        <v>30000</v>
      </c>
      <c r="E95" s="55">
        <f>SUM(E97)</f>
        <v>0</v>
      </c>
      <c r="F95" s="52" t="e">
        <f t="shared" si="7"/>
        <v>#DIV/0!</v>
      </c>
      <c r="G95" s="52">
        <f t="shared" si="8"/>
        <v>0</v>
      </c>
    </row>
    <row r="96" spans="1:7" ht="15">
      <c r="A96" s="116">
        <v>721</v>
      </c>
      <c r="B96" s="117" t="s">
        <v>90</v>
      </c>
      <c r="C96" s="118">
        <v>0</v>
      </c>
      <c r="D96" s="118">
        <v>30000</v>
      </c>
      <c r="E96" s="118"/>
      <c r="F96" s="52"/>
      <c r="G96" s="52"/>
    </row>
    <row r="97" spans="1:7" ht="20.25" customHeight="1">
      <c r="A97" s="63">
        <v>723</v>
      </c>
      <c r="B97" s="93" t="s">
        <v>91</v>
      </c>
      <c r="C97" s="65">
        <f t="shared" si="21"/>
        <v>0</v>
      </c>
      <c r="D97" s="65">
        <f t="shared" si="21"/>
        <v>0</v>
      </c>
      <c r="E97" s="65">
        <f t="shared" si="21"/>
        <v>0</v>
      </c>
      <c r="F97" s="52" t="e">
        <f t="shared" si="7"/>
        <v>#DIV/0!</v>
      </c>
      <c r="G97" s="52" t="e">
        <f t="shared" si="8"/>
        <v>#DIV/0!</v>
      </c>
    </row>
    <row r="98" spans="1:7" ht="15">
      <c r="A98" s="66">
        <v>723</v>
      </c>
      <c r="B98" s="67" t="s">
        <v>92</v>
      </c>
      <c r="C98" s="59">
        <v>0</v>
      </c>
      <c r="D98" s="59">
        <v>0</v>
      </c>
      <c r="E98" s="59">
        <v>0</v>
      </c>
      <c r="F98" s="52" t="e">
        <f t="shared" si="7"/>
        <v>#DIV/0!</v>
      </c>
      <c r="G98" s="52" t="e">
        <f t="shared" si="8"/>
        <v>#DIV/0!</v>
      </c>
    </row>
    <row r="99" spans="1:7" ht="21" customHeight="1">
      <c r="A99" s="113">
        <v>8</v>
      </c>
      <c r="B99" s="114" t="s">
        <v>93</v>
      </c>
      <c r="C99" s="115">
        <f>SUM(C101)</f>
        <v>0</v>
      </c>
      <c r="D99" s="115">
        <f>SUM(D101+D100)</f>
        <v>17000</v>
      </c>
      <c r="E99" s="115">
        <f>SUM(E101)</f>
        <v>0</v>
      </c>
      <c r="F99" s="52" t="e">
        <f t="shared" si="7"/>
        <v>#DIV/0!</v>
      </c>
      <c r="G99" s="52">
        <f t="shared" si="8"/>
        <v>0</v>
      </c>
    </row>
    <row r="100" spans="1:7" ht="17.25" customHeight="1">
      <c r="A100" s="119">
        <v>83</v>
      </c>
      <c r="B100" s="114" t="s">
        <v>94</v>
      </c>
      <c r="C100" s="115">
        <v>0</v>
      </c>
      <c r="D100" s="115">
        <v>2000</v>
      </c>
      <c r="E100" s="115"/>
      <c r="F100" s="52"/>
      <c r="G100" s="52"/>
    </row>
    <row r="101" spans="1:7" ht="15">
      <c r="A101" s="53">
        <v>84</v>
      </c>
      <c r="B101" s="54" t="s">
        <v>95</v>
      </c>
      <c r="C101" s="55">
        <f>SUM(C102)</f>
        <v>0</v>
      </c>
      <c r="D101" s="55">
        <f aca="true" t="shared" si="22" ref="D101:E102">SUM(D102)</f>
        <v>15000</v>
      </c>
      <c r="E101" s="55">
        <f t="shared" si="22"/>
        <v>0</v>
      </c>
      <c r="F101" s="52" t="e">
        <f t="shared" si="7"/>
        <v>#DIV/0!</v>
      </c>
      <c r="G101" s="52">
        <f t="shared" si="8"/>
        <v>0</v>
      </c>
    </row>
    <row r="102" spans="1:7" ht="17.25" customHeight="1">
      <c r="A102" s="63">
        <v>847</v>
      </c>
      <c r="B102" s="93" t="s">
        <v>96</v>
      </c>
      <c r="C102" s="65">
        <f>SUM(C103)</f>
        <v>0</v>
      </c>
      <c r="D102" s="65">
        <f t="shared" si="22"/>
        <v>15000</v>
      </c>
      <c r="E102" s="65">
        <f t="shared" si="22"/>
        <v>0</v>
      </c>
      <c r="F102" s="52" t="e">
        <f aca="true" t="shared" si="23" ref="F102:F103">E102/C102*100</f>
        <v>#DIV/0!</v>
      </c>
      <c r="G102" s="52">
        <f aca="true" t="shared" si="24" ref="G102:G103">E102/D102*100</f>
        <v>0</v>
      </c>
    </row>
    <row r="103" spans="1:7" ht="15" customHeight="1">
      <c r="A103" s="66">
        <v>847</v>
      </c>
      <c r="B103" s="120" t="s">
        <v>96</v>
      </c>
      <c r="C103" s="59">
        <v>0</v>
      </c>
      <c r="D103" s="59">
        <v>15000</v>
      </c>
      <c r="E103" s="59">
        <v>0</v>
      </c>
      <c r="F103" s="52" t="e">
        <f t="shared" si="23"/>
        <v>#DIV/0!</v>
      </c>
      <c r="G103" s="52">
        <f t="shared" si="24"/>
        <v>0</v>
      </c>
    </row>
    <row r="104" spans="1:7" ht="15">
      <c r="A104" s="121"/>
      <c r="B104" s="122"/>
      <c r="C104" s="123"/>
      <c r="D104" s="123"/>
      <c r="E104" s="123"/>
      <c r="F104" s="124"/>
      <c r="G104" s="124"/>
    </row>
    <row r="105" spans="1:7" ht="15.75" thickBot="1">
      <c r="A105" s="125"/>
      <c r="B105" s="126"/>
      <c r="C105" s="127"/>
      <c r="D105" s="127"/>
      <c r="E105" s="127"/>
      <c r="F105" s="128"/>
      <c r="G105" s="128"/>
    </row>
    <row r="106" spans="1:7" ht="23.25" thickBot="1">
      <c r="A106" s="129"/>
      <c r="B106" s="36" t="s">
        <v>97</v>
      </c>
      <c r="C106" s="130"/>
      <c r="D106" s="37"/>
      <c r="E106" s="37"/>
      <c r="F106" s="131"/>
      <c r="G106" s="131"/>
    </row>
    <row r="107" spans="1:7" ht="19.5" thickBot="1">
      <c r="A107" s="132"/>
      <c r="B107" s="41" t="s">
        <v>98</v>
      </c>
      <c r="C107" s="42">
        <f>SUM(C109+C251+C309)</f>
        <v>443081.5581657708</v>
      </c>
      <c r="D107" s="42">
        <f>SUM(D109+D251+D309+D314)</f>
        <v>1382562</v>
      </c>
      <c r="E107" s="42">
        <f>SUM(E109+E251+E309)</f>
        <v>445053.82000000007</v>
      </c>
      <c r="F107" s="43">
        <f>E107/C107*100</f>
        <v>100.445123882473</v>
      </c>
      <c r="G107" s="44">
        <f>E107/D107*100</f>
        <v>32.19051442177639</v>
      </c>
    </row>
    <row r="108" spans="1:7" ht="48.75" thickBot="1">
      <c r="A108" s="133" t="s">
        <v>30</v>
      </c>
      <c r="B108" s="134" t="s">
        <v>99</v>
      </c>
      <c r="C108" s="11" t="s">
        <v>6</v>
      </c>
      <c r="D108" s="11" t="s">
        <v>100</v>
      </c>
      <c r="E108" s="12" t="s">
        <v>8</v>
      </c>
      <c r="F108" s="47" t="s">
        <v>32</v>
      </c>
      <c r="G108" s="48" t="s">
        <v>33</v>
      </c>
    </row>
    <row r="109" spans="1:7" ht="15.75" thickTop="1">
      <c r="A109" s="49">
        <v>3</v>
      </c>
      <c r="B109" s="50" t="s">
        <v>101</v>
      </c>
      <c r="C109" s="51">
        <f>SUM(C110+C124+C183+C192+C195+C201+C213)</f>
        <v>217937.2221116199</v>
      </c>
      <c r="D109" s="51">
        <f>SUM(D110+D124+D183+D192+D195+D201+D213)</f>
        <v>527782</v>
      </c>
      <c r="E109" s="51">
        <f>SUM(E110+E124+E183+E192+E195+E201+E213)</f>
        <v>226594.03000000006</v>
      </c>
      <c r="F109" s="52">
        <f aca="true" t="shared" si="25" ref="F109:F147">E109/C109*100</f>
        <v>103.97215666259454</v>
      </c>
      <c r="G109" s="52">
        <f aca="true" t="shared" si="26" ref="G109:G147">E109/D109*100</f>
        <v>42.933262218112795</v>
      </c>
    </row>
    <row r="110" spans="1:7" ht="15">
      <c r="A110" s="53">
        <v>31</v>
      </c>
      <c r="B110" s="54" t="s">
        <v>102</v>
      </c>
      <c r="C110" s="55">
        <f>SUM(C111+C116+C119)</f>
        <v>63843.51980887916</v>
      </c>
      <c r="D110" s="55">
        <f>SUM(D111+D116+D119)</f>
        <v>146737</v>
      </c>
      <c r="E110" s="55">
        <f>SUM(E111+E116+E119)</f>
        <v>56950.420000000006</v>
      </c>
      <c r="F110" s="52">
        <f t="shared" si="25"/>
        <v>89.2031331770018</v>
      </c>
      <c r="G110" s="52">
        <f t="shared" si="26"/>
        <v>38.81122007400997</v>
      </c>
    </row>
    <row r="111" spans="1:7" ht="15">
      <c r="A111" s="135">
        <v>311</v>
      </c>
      <c r="B111" s="136" t="s">
        <v>103</v>
      </c>
      <c r="C111" s="137">
        <f>SUM(C112:C114)</f>
        <v>51611.387616961976</v>
      </c>
      <c r="D111" s="137">
        <f>SUM(D112:D115)</f>
        <v>110770</v>
      </c>
      <c r="E111" s="137">
        <f>SUM(E112:E115)</f>
        <v>45859.270000000004</v>
      </c>
      <c r="F111" s="52">
        <f t="shared" si="25"/>
        <v>88.85494484346793</v>
      </c>
      <c r="G111" s="52">
        <f t="shared" si="26"/>
        <v>41.400442358039186</v>
      </c>
    </row>
    <row r="112" spans="1:7" ht="15" customHeight="1">
      <c r="A112" s="70">
        <v>311</v>
      </c>
      <c r="B112" s="75" t="s">
        <v>104</v>
      </c>
      <c r="C112" s="82">
        <f>SUM(340427/7.5345)</f>
        <v>45182.427500165904</v>
      </c>
      <c r="D112" s="83">
        <v>90715</v>
      </c>
      <c r="E112" s="83">
        <v>38528.66</v>
      </c>
      <c r="F112" s="52">
        <f t="shared" si="25"/>
        <v>85.27355020900222</v>
      </c>
      <c r="G112" s="52">
        <f t="shared" si="26"/>
        <v>42.472204155872795</v>
      </c>
    </row>
    <row r="113" spans="1:7" ht="16.5" customHeight="1">
      <c r="A113" s="70">
        <v>311</v>
      </c>
      <c r="B113" s="75" t="s">
        <v>105</v>
      </c>
      <c r="C113" s="82">
        <f>SUM(43325/7.5345)</f>
        <v>5750.215674563673</v>
      </c>
      <c r="D113" s="83">
        <v>11560</v>
      </c>
      <c r="E113" s="83">
        <v>5812.61</v>
      </c>
      <c r="F113" s="52">
        <f t="shared" si="25"/>
        <v>101.0850780034622</v>
      </c>
      <c r="G113" s="52">
        <f t="shared" si="26"/>
        <v>50.28209342560553</v>
      </c>
    </row>
    <row r="114" spans="1:7" ht="15" customHeight="1">
      <c r="A114" s="70">
        <v>311</v>
      </c>
      <c r="B114" s="75" t="s">
        <v>106</v>
      </c>
      <c r="C114" s="82">
        <f>SUM(5114/7.5345)</f>
        <v>678.7444422323975</v>
      </c>
      <c r="D114" s="83">
        <v>7165</v>
      </c>
      <c r="E114" s="83">
        <v>1050</v>
      </c>
      <c r="F114" s="52">
        <f t="shared" si="25"/>
        <v>154.6973992960501</v>
      </c>
      <c r="G114" s="52">
        <f t="shared" si="26"/>
        <v>14.654570830425682</v>
      </c>
    </row>
    <row r="115" spans="1:7" ht="14.25" customHeight="1">
      <c r="A115" s="84">
        <v>311</v>
      </c>
      <c r="B115" s="75" t="s">
        <v>107</v>
      </c>
      <c r="C115" s="82">
        <v>0</v>
      </c>
      <c r="D115" s="83">
        <v>1330</v>
      </c>
      <c r="E115" s="83">
        <v>468</v>
      </c>
      <c r="F115" s="52"/>
      <c r="G115" s="52">
        <f t="shared" si="26"/>
        <v>35.18796992481203</v>
      </c>
    </row>
    <row r="116" spans="1:7" ht="15">
      <c r="A116" s="63">
        <v>312</v>
      </c>
      <c r="B116" s="64" t="s">
        <v>108</v>
      </c>
      <c r="C116" s="65">
        <f>SUM(C117:C118)</f>
        <v>3716.2386356095294</v>
      </c>
      <c r="D116" s="65">
        <f>SUM(D117:D118)</f>
        <v>17455</v>
      </c>
      <c r="E116" s="65">
        <f>SUM(E117:E118)</f>
        <v>4188.96</v>
      </c>
      <c r="F116" s="52">
        <f t="shared" si="25"/>
        <v>112.72042542857143</v>
      </c>
      <c r="G116" s="52">
        <f t="shared" si="26"/>
        <v>23.99862503580636</v>
      </c>
    </row>
    <row r="117" spans="1:7" ht="15">
      <c r="A117" s="70">
        <v>312</v>
      </c>
      <c r="B117" s="67" t="s">
        <v>108</v>
      </c>
      <c r="C117" s="83">
        <f>SUM(24000/7.5345)</f>
        <v>3185.347401951025</v>
      </c>
      <c r="D117" s="83">
        <v>15000</v>
      </c>
      <c r="E117" s="83">
        <v>4188.96</v>
      </c>
      <c r="F117" s="52">
        <f t="shared" si="25"/>
        <v>131.507163</v>
      </c>
      <c r="G117" s="52">
        <f t="shared" si="26"/>
        <v>27.9264</v>
      </c>
    </row>
    <row r="118" spans="1:7" ht="15">
      <c r="A118" s="70">
        <v>312</v>
      </c>
      <c r="B118" s="67" t="s">
        <v>109</v>
      </c>
      <c r="C118" s="83">
        <f>SUM(4000/7.5345)</f>
        <v>530.8912336585042</v>
      </c>
      <c r="D118" s="83">
        <v>2455</v>
      </c>
      <c r="E118" s="83">
        <v>0</v>
      </c>
      <c r="F118" s="52">
        <f t="shared" si="25"/>
        <v>0</v>
      </c>
      <c r="G118" s="52">
        <f t="shared" si="26"/>
        <v>0</v>
      </c>
    </row>
    <row r="119" spans="1:7" ht="15">
      <c r="A119" s="63">
        <v>313</v>
      </c>
      <c r="B119" s="64" t="s">
        <v>110</v>
      </c>
      <c r="C119" s="65">
        <f>SUM(C120:C122)</f>
        <v>8515.89355630765</v>
      </c>
      <c r="D119" s="65">
        <f>SUM(D120:D123)</f>
        <v>18512</v>
      </c>
      <c r="E119" s="65">
        <f>SUM(E120:E123)</f>
        <v>6902.19</v>
      </c>
      <c r="F119" s="52">
        <f t="shared" si="25"/>
        <v>81.0506842806602</v>
      </c>
      <c r="G119" s="52">
        <f t="shared" si="26"/>
        <v>37.28495030250648</v>
      </c>
    </row>
    <row r="120" spans="1:7" ht="15">
      <c r="A120" s="70">
        <v>313</v>
      </c>
      <c r="B120" s="67" t="s">
        <v>111</v>
      </c>
      <c r="C120" s="82">
        <f>SUM(56170/7.5345)</f>
        <v>7455.040148649545</v>
      </c>
      <c r="D120" s="83">
        <v>14970</v>
      </c>
      <c r="E120" s="83">
        <v>5519.39</v>
      </c>
      <c r="F120" s="52">
        <f t="shared" si="25"/>
        <v>74.03568444899413</v>
      </c>
      <c r="G120" s="52">
        <f t="shared" si="26"/>
        <v>36.86967267869072</v>
      </c>
    </row>
    <row r="121" spans="1:7" ht="15">
      <c r="A121" s="70">
        <v>313</v>
      </c>
      <c r="B121" s="67" t="s">
        <v>112</v>
      </c>
      <c r="C121" s="82">
        <f>SUM(7149/7.5345)</f>
        <v>948.8353573561616</v>
      </c>
      <c r="D121" s="83">
        <v>1907</v>
      </c>
      <c r="E121" s="83">
        <v>959.07</v>
      </c>
      <c r="F121" s="52">
        <f t="shared" si="25"/>
        <v>101.0786531682753</v>
      </c>
      <c r="G121" s="52">
        <f t="shared" si="26"/>
        <v>50.29208180388044</v>
      </c>
    </row>
    <row r="122" spans="1:7" ht="15">
      <c r="A122" s="70">
        <v>313</v>
      </c>
      <c r="B122" s="67" t="s">
        <v>113</v>
      </c>
      <c r="C122" s="82">
        <f>SUM(844/7.5345)</f>
        <v>112.01805030194438</v>
      </c>
      <c r="D122" s="83">
        <v>1415</v>
      </c>
      <c r="E122" s="83">
        <v>346.5</v>
      </c>
      <c r="F122" s="52">
        <f t="shared" si="25"/>
        <v>309.3251481042654</v>
      </c>
      <c r="G122" s="52">
        <f t="shared" si="26"/>
        <v>24.487632508833922</v>
      </c>
    </row>
    <row r="123" spans="1:7" ht="15">
      <c r="A123" s="84">
        <v>313</v>
      </c>
      <c r="B123" s="67" t="s">
        <v>114</v>
      </c>
      <c r="C123" s="82">
        <v>0</v>
      </c>
      <c r="D123" s="83">
        <v>220</v>
      </c>
      <c r="E123" s="83">
        <v>77.23</v>
      </c>
      <c r="F123" s="52"/>
      <c r="G123" s="52">
        <f t="shared" si="26"/>
        <v>35.10454545454545</v>
      </c>
    </row>
    <row r="124" spans="1:7" ht="15">
      <c r="A124" s="53">
        <v>32</v>
      </c>
      <c r="B124" s="54" t="s">
        <v>115</v>
      </c>
      <c r="C124" s="55">
        <f>SUM(C125+C134+C146+C163+C165)</f>
        <v>83859.4465458889</v>
      </c>
      <c r="D124" s="55">
        <f aca="true" t="shared" si="27" ref="D124:E124">SUM(D125+D134+D146+D163+D165)</f>
        <v>216985</v>
      </c>
      <c r="E124" s="55">
        <f t="shared" si="27"/>
        <v>93252.95000000001</v>
      </c>
      <c r="F124" s="52">
        <f t="shared" si="25"/>
        <v>111.20148515286334</v>
      </c>
      <c r="G124" s="52">
        <f t="shared" si="26"/>
        <v>42.97668041569695</v>
      </c>
    </row>
    <row r="125" spans="1:7" ht="15">
      <c r="A125" s="63">
        <v>321</v>
      </c>
      <c r="B125" s="64" t="s">
        <v>116</v>
      </c>
      <c r="C125" s="65">
        <f>SUM(C126:C131)</f>
        <v>1435.3971730041808</v>
      </c>
      <c r="D125" s="65">
        <f>SUM(D126:D133)</f>
        <v>4155</v>
      </c>
      <c r="E125" s="65">
        <f>SUM(E126:E132)</f>
        <v>3756.5400000000004</v>
      </c>
      <c r="F125" s="52">
        <f t="shared" si="25"/>
        <v>261.7073567267684</v>
      </c>
      <c r="G125" s="52">
        <f t="shared" si="26"/>
        <v>90.4101083032491</v>
      </c>
    </row>
    <row r="126" spans="1:7" ht="15">
      <c r="A126" s="70">
        <v>321</v>
      </c>
      <c r="B126" s="67" t="s">
        <v>117</v>
      </c>
      <c r="C126" s="82">
        <f>SUM(2573/7.5345)</f>
        <v>341.4957860508328</v>
      </c>
      <c r="D126" s="83">
        <v>1100</v>
      </c>
      <c r="E126" s="83">
        <v>1087.19</v>
      </c>
      <c r="F126" s="52">
        <f t="shared" si="25"/>
        <v>318.3611758647494</v>
      </c>
      <c r="G126" s="52">
        <f t="shared" si="26"/>
        <v>98.83545454545455</v>
      </c>
    </row>
    <row r="127" spans="1:7" ht="15">
      <c r="A127" s="70">
        <v>321</v>
      </c>
      <c r="B127" s="67" t="s">
        <v>118</v>
      </c>
      <c r="C127" s="82">
        <f>SUM(100/7.5345)</f>
        <v>13.272280841462605</v>
      </c>
      <c r="D127" s="83">
        <v>70</v>
      </c>
      <c r="E127" s="83">
        <v>0</v>
      </c>
      <c r="F127" s="52">
        <f t="shared" si="25"/>
        <v>0</v>
      </c>
      <c r="G127" s="52">
        <f t="shared" si="26"/>
        <v>0</v>
      </c>
    </row>
    <row r="128" spans="1:7" ht="15">
      <c r="A128" s="70">
        <v>321</v>
      </c>
      <c r="B128" s="67" t="s">
        <v>119</v>
      </c>
      <c r="C128" s="82">
        <f>SUM(2670/7.5345)</f>
        <v>354.36989846705154</v>
      </c>
      <c r="D128" s="83">
        <v>800</v>
      </c>
      <c r="E128" s="83">
        <v>850</v>
      </c>
      <c r="F128" s="52">
        <f t="shared" si="25"/>
        <v>239.86235955056182</v>
      </c>
      <c r="G128" s="52">
        <f t="shared" si="26"/>
        <v>106.25</v>
      </c>
    </row>
    <row r="129" spans="1:7" ht="15">
      <c r="A129" s="70">
        <v>321</v>
      </c>
      <c r="B129" s="67" t="s">
        <v>120</v>
      </c>
      <c r="C129" s="82">
        <v>0</v>
      </c>
      <c r="D129" s="83">
        <v>1271</v>
      </c>
      <c r="E129" s="83">
        <v>0</v>
      </c>
      <c r="F129" s="52" t="e">
        <f t="shared" si="25"/>
        <v>#DIV/0!</v>
      </c>
      <c r="G129" s="52">
        <f t="shared" si="26"/>
        <v>0</v>
      </c>
    </row>
    <row r="130" spans="1:7" ht="15">
      <c r="A130" s="70">
        <v>321</v>
      </c>
      <c r="B130" s="67" t="s">
        <v>121</v>
      </c>
      <c r="C130" s="82">
        <f>SUM(4788/7.5345)</f>
        <v>635.4768066892295</v>
      </c>
      <c r="D130" s="83">
        <v>182</v>
      </c>
      <c r="E130" s="83">
        <v>1788.82</v>
      </c>
      <c r="F130" s="52">
        <f t="shared" si="25"/>
        <v>281.49257080200505</v>
      </c>
      <c r="G130" s="52">
        <f t="shared" si="26"/>
        <v>982.868131868132</v>
      </c>
    </row>
    <row r="131" spans="1:7" ht="15">
      <c r="A131" s="70">
        <v>321</v>
      </c>
      <c r="B131" s="67" t="s">
        <v>122</v>
      </c>
      <c r="C131" s="82">
        <f>SUM(684/7.5345)</f>
        <v>90.78240095560422</v>
      </c>
      <c r="D131" s="83">
        <v>0</v>
      </c>
      <c r="E131" s="138">
        <v>0</v>
      </c>
      <c r="F131" s="52">
        <f t="shared" si="25"/>
        <v>0</v>
      </c>
      <c r="G131" s="52" t="e">
        <f t="shared" si="26"/>
        <v>#DIV/0!</v>
      </c>
    </row>
    <row r="132" spans="1:7" ht="15">
      <c r="A132" s="84">
        <v>321</v>
      </c>
      <c r="B132" s="67" t="s">
        <v>123</v>
      </c>
      <c r="C132" s="82"/>
      <c r="D132" s="83">
        <v>632</v>
      </c>
      <c r="E132" s="83">
        <v>30.53</v>
      </c>
      <c r="F132" s="52"/>
      <c r="G132" s="52"/>
    </row>
    <row r="133" spans="1:7" ht="15">
      <c r="A133" s="84">
        <v>321</v>
      </c>
      <c r="B133" s="67" t="s">
        <v>124</v>
      </c>
      <c r="C133" s="82"/>
      <c r="D133" s="83">
        <v>100</v>
      </c>
      <c r="E133" s="83"/>
      <c r="F133" s="52"/>
      <c r="G133" s="52"/>
    </row>
    <row r="134" spans="1:7" ht="15">
      <c r="A134" s="63">
        <v>322</v>
      </c>
      <c r="B134" s="64" t="s">
        <v>125</v>
      </c>
      <c r="C134" s="65">
        <f>SUM(C135:C145)</f>
        <v>29899.130665604884</v>
      </c>
      <c r="D134" s="65">
        <f>SUM(D135:D145)</f>
        <v>69935</v>
      </c>
      <c r="E134" s="65">
        <f>SUM(E135:E145)</f>
        <v>26543.75</v>
      </c>
      <c r="F134" s="52">
        <f t="shared" si="25"/>
        <v>88.77766479857951</v>
      </c>
      <c r="G134" s="52">
        <f t="shared" si="26"/>
        <v>37.954886680489025</v>
      </c>
    </row>
    <row r="135" spans="1:7" ht="15">
      <c r="A135" s="70">
        <v>322</v>
      </c>
      <c r="B135" s="67" t="s">
        <v>126</v>
      </c>
      <c r="C135" s="82">
        <f>SUM(3386/7.5345)</f>
        <v>449.3994292919238</v>
      </c>
      <c r="D135" s="83">
        <v>900</v>
      </c>
      <c r="E135" s="83">
        <v>560.95</v>
      </c>
      <c r="F135" s="52">
        <f t="shared" si="25"/>
        <v>124.82214338452454</v>
      </c>
      <c r="G135" s="52">
        <f t="shared" si="26"/>
        <v>62.32777777777778</v>
      </c>
    </row>
    <row r="136" spans="1:7" ht="15">
      <c r="A136" s="70">
        <v>322</v>
      </c>
      <c r="B136" s="67" t="s">
        <v>127</v>
      </c>
      <c r="C136" s="82">
        <f>SUM(574/7.5345)</f>
        <v>76.18289202999534</v>
      </c>
      <c r="D136" s="83">
        <v>765</v>
      </c>
      <c r="E136" s="83">
        <v>262.13</v>
      </c>
      <c r="F136" s="52">
        <f t="shared" si="25"/>
        <v>344.07987543554015</v>
      </c>
      <c r="G136" s="52">
        <f t="shared" si="26"/>
        <v>34.26535947712418</v>
      </c>
    </row>
    <row r="137" spans="1:7" ht="15">
      <c r="A137" s="70">
        <v>322</v>
      </c>
      <c r="B137" s="67" t="s">
        <v>128</v>
      </c>
      <c r="C137" s="82">
        <f>SUM(143243/7.5345)</f>
        <v>19011.61324573628</v>
      </c>
      <c r="D137" s="83">
        <v>50000</v>
      </c>
      <c r="E137" s="83">
        <v>14600.89</v>
      </c>
      <c r="F137" s="52">
        <f t="shared" si="25"/>
        <v>76.79984760511857</v>
      </c>
      <c r="G137" s="52">
        <f t="shared" si="26"/>
        <v>29.20178</v>
      </c>
    </row>
    <row r="138" spans="1:7" ht="15">
      <c r="A138" s="70">
        <v>322</v>
      </c>
      <c r="B138" s="67" t="s">
        <v>129</v>
      </c>
      <c r="C138" s="82">
        <f>SUM(2265/7.5345)</f>
        <v>300.617161059128</v>
      </c>
      <c r="D138" s="83">
        <v>700</v>
      </c>
      <c r="E138" s="83">
        <v>26.53</v>
      </c>
      <c r="F138" s="52">
        <f t="shared" si="25"/>
        <v>8.825178145695364</v>
      </c>
      <c r="G138" s="52">
        <f t="shared" si="26"/>
        <v>3.7900000000000005</v>
      </c>
    </row>
    <row r="139" spans="1:7" ht="15">
      <c r="A139" s="70">
        <v>322</v>
      </c>
      <c r="B139" s="67" t="s">
        <v>130</v>
      </c>
      <c r="C139" s="82">
        <f>SUM(41538/7.5345)</f>
        <v>5513.0400159267365</v>
      </c>
      <c r="D139" s="83">
        <v>11000</v>
      </c>
      <c r="E139" s="83">
        <v>7849.1</v>
      </c>
      <c r="F139" s="52">
        <f t="shared" si="25"/>
        <v>142.37335439838225</v>
      </c>
      <c r="G139" s="52">
        <f t="shared" si="26"/>
        <v>71.35545454545455</v>
      </c>
    </row>
    <row r="140" spans="1:7" ht="15">
      <c r="A140" s="70">
        <v>322</v>
      </c>
      <c r="B140" s="67" t="s">
        <v>131</v>
      </c>
      <c r="C140" s="82">
        <v>0</v>
      </c>
      <c r="D140" s="83">
        <v>50</v>
      </c>
      <c r="E140" s="83">
        <v>0</v>
      </c>
      <c r="F140" s="52" t="e">
        <f t="shared" si="25"/>
        <v>#DIV/0!</v>
      </c>
      <c r="G140" s="52">
        <f t="shared" si="26"/>
        <v>0</v>
      </c>
    </row>
    <row r="141" spans="1:7" ht="15">
      <c r="A141" s="70">
        <v>322</v>
      </c>
      <c r="B141" s="67" t="s">
        <v>132</v>
      </c>
      <c r="C141" s="82"/>
      <c r="D141" s="83">
        <v>70</v>
      </c>
      <c r="E141" s="83"/>
      <c r="F141" s="52"/>
      <c r="G141" s="52"/>
    </row>
    <row r="142" spans="1:7" ht="15">
      <c r="A142" s="70">
        <v>322</v>
      </c>
      <c r="B142" s="67" t="s">
        <v>133</v>
      </c>
      <c r="C142" s="82"/>
      <c r="D142" s="83">
        <v>50</v>
      </c>
      <c r="E142" s="83"/>
      <c r="F142" s="52"/>
      <c r="G142" s="52"/>
    </row>
    <row r="143" spans="1:7" ht="15">
      <c r="A143" s="70">
        <v>322</v>
      </c>
      <c r="B143" s="67" t="s">
        <v>134</v>
      </c>
      <c r="C143" s="82">
        <f>SUM(34000/7.5345)</f>
        <v>4512.575486097286</v>
      </c>
      <c r="D143" s="83">
        <v>6000</v>
      </c>
      <c r="E143" s="83">
        <v>3209.77</v>
      </c>
      <c r="F143" s="52">
        <f t="shared" si="25"/>
        <v>71.12944725</v>
      </c>
      <c r="G143" s="52">
        <f t="shared" si="26"/>
        <v>53.49616666666667</v>
      </c>
    </row>
    <row r="144" spans="1:7" ht="15">
      <c r="A144" s="70">
        <v>322</v>
      </c>
      <c r="B144" s="67" t="s">
        <v>135</v>
      </c>
      <c r="C144" s="82">
        <v>0</v>
      </c>
      <c r="D144" s="83">
        <v>200</v>
      </c>
      <c r="E144" s="83">
        <v>0</v>
      </c>
      <c r="F144" s="52" t="e">
        <f t="shared" si="25"/>
        <v>#DIV/0!</v>
      </c>
      <c r="G144" s="52">
        <f t="shared" si="26"/>
        <v>0</v>
      </c>
    </row>
    <row r="145" spans="1:7" ht="15">
      <c r="A145" s="70">
        <v>322</v>
      </c>
      <c r="B145" s="67" t="s">
        <v>136</v>
      </c>
      <c r="C145" s="82">
        <f>SUM(269/7.5345)</f>
        <v>35.70243546353441</v>
      </c>
      <c r="D145" s="83">
        <v>200</v>
      </c>
      <c r="E145" s="83">
        <v>34.38</v>
      </c>
      <c r="F145" s="52">
        <f t="shared" si="25"/>
        <v>96.29595167286247</v>
      </c>
      <c r="G145" s="52">
        <f t="shared" si="26"/>
        <v>17.19</v>
      </c>
    </row>
    <row r="146" spans="1:7" ht="15">
      <c r="A146" s="63">
        <v>323</v>
      </c>
      <c r="B146" s="64" t="s">
        <v>137</v>
      </c>
      <c r="C146" s="65">
        <f>SUM(C147:C162)</f>
        <v>40321.58736478863</v>
      </c>
      <c r="D146" s="65">
        <f>SUM(D147:D162)</f>
        <v>103640</v>
      </c>
      <c r="E146" s="65">
        <f>SUM(E147:E162)</f>
        <v>41231.700000000004</v>
      </c>
      <c r="F146" s="52">
        <f t="shared" si="25"/>
        <v>102.2571349361264</v>
      </c>
      <c r="G146" s="52">
        <f t="shared" si="26"/>
        <v>39.78357776920108</v>
      </c>
    </row>
    <row r="147" spans="1:7" ht="15">
      <c r="A147" s="70">
        <v>323</v>
      </c>
      <c r="B147" s="67" t="s">
        <v>138</v>
      </c>
      <c r="C147" s="83">
        <f>SUM(11506/7.5345)</f>
        <v>1527.1086336186872</v>
      </c>
      <c r="D147" s="83">
        <v>3400</v>
      </c>
      <c r="E147" s="83">
        <v>2726.29</v>
      </c>
      <c r="F147" s="52">
        <f t="shared" si="25"/>
        <v>178.5262646010777</v>
      </c>
      <c r="G147" s="52">
        <f t="shared" si="26"/>
        <v>80.185</v>
      </c>
    </row>
    <row r="148" spans="1:7" ht="15">
      <c r="A148" s="84">
        <v>323</v>
      </c>
      <c r="B148" s="67" t="s">
        <v>139</v>
      </c>
      <c r="C148" s="83"/>
      <c r="D148" s="83">
        <v>13300</v>
      </c>
      <c r="E148" s="83"/>
      <c r="F148" s="52"/>
      <c r="G148" s="52"/>
    </row>
    <row r="149" spans="1:7" ht="15">
      <c r="A149" s="70">
        <v>323</v>
      </c>
      <c r="B149" s="67" t="s">
        <v>140</v>
      </c>
      <c r="C149" s="83">
        <f>SUM(1196/7.5345)</f>
        <v>158.73647886389276</v>
      </c>
      <c r="D149" s="83">
        <v>290</v>
      </c>
      <c r="E149" s="83">
        <v>279.61</v>
      </c>
      <c r="F149" s="52">
        <f aca="true" t="shared" si="28" ref="F149:F212">E149/C149*100</f>
        <v>176.14728637123747</v>
      </c>
      <c r="G149" s="52">
        <f aca="true" t="shared" si="29" ref="G149:G212">E149/D149*100</f>
        <v>96.41724137931035</v>
      </c>
    </row>
    <row r="150" spans="1:7" ht="15">
      <c r="A150" s="70">
        <v>323</v>
      </c>
      <c r="B150" s="67" t="s">
        <v>141</v>
      </c>
      <c r="C150" s="83">
        <f>SUM(90275/7.5345)</f>
        <v>11981.551529630366</v>
      </c>
      <c r="D150" s="83">
        <v>27000</v>
      </c>
      <c r="E150" s="83">
        <v>10527.79</v>
      </c>
      <c r="F150" s="52">
        <f t="shared" si="28"/>
        <v>87.86666713375799</v>
      </c>
      <c r="G150" s="52">
        <f t="shared" si="29"/>
        <v>38.991814814814816</v>
      </c>
    </row>
    <row r="151" spans="1:7" ht="15">
      <c r="A151" s="70">
        <v>323</v>
      </c>
      <c r="B151" s="67" t="s">
        <v>142</v>
      </c>
      <c r="C151" s="83">
        <v>0</v>
      </c>
      <c r="D151" s="83">
        <v>100</v>
      </c>
      <c r="E151" s="83">
        <v>0</v>
      </c>
      <c r="F151" s="52" t="e">
        <f t="shared" si="28"/>
        <v>#DIV/0!</v>
      </c>
      <c r="G151" s="52">
        <f t="shared" si="29"/>
        <v>0</v>
      </c>
    </row>
    <row r="152" spans="1:7" ht="15">
      <c r="A152" s="70">
        <v>323</v>
      </c>
      <c r="B152" s="67" t="s">
        <v>143</v>
      </c>
      <c r="C152" s="83">
        <f>SUM(5096/7.5345)</f>
        <v>676.3554316809343</v>
      </c>
      <c r="D152" s="83">
        <v>3800</v>
      </c>
      <c r="E152" s="83">
        <v>205.31</v>
      </c>
      <c r="F152" s="52">
        <f t="shared" si="28"/>
        <v>30.355341346153846</v>
      </c>
      <c r="G152" s="52">
        <f t="shared" si="29"/>
        <v>5.402894736842105</v>
      </c>
    </row>
    <row r="153" spans="1:7" ht="15">
      <c r="A153" s="70">
        <v>323</v>
      </c>
      <c r="B153" s="67" t="s">
        <v>144</v>
      </c>
      <c r="C153" s="83">
        <f>SUM(700/7.5345)</f>
        <v>92.90596589023824</v>
      </c>
      <c r="D153" s="83">
        <v>300</v>
      </c>
      <c r="E153" s="83">
        <v>332.96</v>
      </c>
      <c r="F153" s="52">
        <f t="shared" si="28"/>
        <v>358.3838742857142</v>
      </c>
      <c r="G153" s="52">
        <f t="shared" si="29"/>
        <v>110.98666666666665</v>
      </c>
    </row>
    <row r="154" spans="1:7" ht="15">
      <c r="A154" s="84">
        <v>323</v>
      </c>
      <c r="B154" s="67" t="s">
        <v>145</v>
      </c>
      <c r="C154" s="83"/>
      <c r="D154" s="83">
        <v>30</v>
      </c>
      <c r="E154" s="83"/>
      <c r="F154" s="52"/>
      <c r="G154" s="52"/>
    </row>
    <row r="155" spans="1:7" ht="15">
      <c r="A155" s="70">
        <v>323</v>
      </c>
      <c r="B155" s="67" t="s">
        <v>146</v>
      </c>
      <c r="C155" s="83">
        <f>SUM(139649/7.5345)</f>
        <v>18534.607472294112</v>
      </c>
      <c r="D155" s="83">
        <v>29000</v>
      </c>
      <c r="E155" s="83">
        <v>19366.15</v>
      </c>
      <c r="F155" s="52">
        <f t="shared" si="28"/>
        <v>104.48643182192498</v>
      </c>
      <c r="G155" s="52">
        <f t="shared" si="29"/>
        <v>66.77982758620689</v>
      </c>
    </row>
    <row r="156" spans="1:7" ht="15">
      <c r="A156" s="70">
        <v>323</v>
      </c>
      <c r="B156" s="67" t="s">
        <v>147</v>
      </c>
      <c r="C156" s="83">
        <f>SUM(638/7.5345)</f>
        <v>84.67715176853142</v>
      </c>
      <c r="D156" s="83">
        <v>220</v>
      </c>
      <c r="E156" s="83">
        <v>8.61</v>
      </c>
      <c r="F156" s="52">
        <f t="shared" si="28"/>
        <v>10.168032131661441</v>
      </c>
      <c r="G156" s="52">
        <f t="shared" si="29"/>
        <v>3.9136363636363636</v>
      </c>
    </row>
    <row r="157" spans="1:7" ht="15">
      <c r="A157" s="70">
        <v>323</v>
      </c>
      <c r="B157" s="67" t="s">
        <v>148</v>
      </c>
      <c r="C157" s="83">
        <f>SUM(14672/7.5345)</f>
        <v>1947.3090450593934</v>
      </c>
      <c r="D157" s="83">
        <v>3700</v>
      </c>
      <c r="E157" s="83">
        <v>895.86</v>
      </c>
      <c r="F157" s="52">
        <f t="shared" si="28"/>
        <v>46.005024332061076</v>
      </c>
      <c r="G157" s="52">
        <f t="shared" si="29"/>
        <v>24.212432432432433</v>
      </c>
    </row>
    <row r="158" spans="1:7" ht="15">
      <c r="A158" s="70">
        <v>323</v>
      </c>
      <c r="B158" s="67" t="s">
        <v>149</v>
      </c>
      <c r="C158" s="83">
        <f>SUM(21405/7.5345)</f>
        <v>2840.9317141150705</v>
      </c>
      <c r="D158" s="83">
        <v>15000</v>
      </c>
      <c r="E158" s="83">
        <v>3775.9</v>
      </c>
      <c r="F158" s="52">
        <f t="shared" si="28"/>
        <v>132.91062158374214</v>
      </c>
      <c r="G158" s="52">
        <f t="shared" si="29"/>
        <v>25.172666666666665</v>
      </c>
    </row>
    <row r="159" spans="1:7" ht="15">
      <c r="A159" s="70">
        <v>323</v>
      </c>
      <c r="B159" s="67" t="s">
        <v>150</v>
      </c>
      <c r="C159" s="83">
        <f>SUM(2721/7.5345)</f>
        <v>361.1387616961975</v>
      </c>
      <c r="D159" s="83"/>
      <c r="E159" s="83">
        <v>0</v>
      </c>
      <c r="F159" s="52">
        <f t="shared" si="28"/>
        <v>0</v>
      </c>
      <c r="G159" s="52" t="e">
        <f t="shared" si="29"/>
        <v>#DIV/0!</v>
      </c>
    </row>
    <row r="160" spans="1:7" ht="15">
      <c r="A160" s="139">
        <v>323</v>
      </c>
      <c r="B160" s="67" t="s">
        <v>151</v>
      </c>
      <c r="C160" s="83">
        <f>SUM(8138/7.5345)</f>
        <v>1080.0982148782268</v>
      </c>
      <c r="D160" s="83">
        <v>4000</v>
      </c>
      <c r="E160" s="83">
        <v>1636.98</v>
      </c>
      <c r="F160" s="52">
        <f t="shared" si="28"/>
        <v>151.55843954288522</v>
      </c>
      <c r="G160" s="52">
        <f t="shared" si="29"/>
        <v>40.9245</v>
      </c>
    </row>
    <row r="161" spans="1:7" ht="15" customHeight="1">
      <c r="A161" s="70">
        <v>323</v>
      </c>
      <c r="B161" s="75" t="s">
        <v>152</v>
      </c>
      <c r="C161" s="83">
        <f>SUM(7807/7.5345)</f>
        <v>1036.1669652929857</v>
      </c>
      <c r="D161" s="83">
        <v>3500</v>
      </c>
      <c r="E161" s="83">
        <v>1476.24</v>
      </c>
      <c r="F161" s="52">
        <f t="shared" si="28"/>
        <v>142.47124734212886</v>
      </c>
      <c r="G161" s="52">
        <f t="shared" si="29"/>
        <v>42.178285714285714</v>
      </c>
    </row>
    <row r="162" spans="1:7" ht="17.25" customHeight="1">
      <c r="A162" s="70">
        <v>323</v>
      </c>
      <c r="B162" s="75" t="s">
        <v>153</v>
      </c>
      <c r="C162" s="83">
        <v>0</v>
      </c>
      <c r="D162" s="83">
        <v>0</v>
      </c>
      <c r="E162" s="83">
        <v>0</v>
      </c>
      <c r="F162" s="52" t="e">
        <f t="shared" si="28"/>
        <v>#DIV/0!</v>
      </c>
      <c r="G162" s="52" t="e">
        <f t="shared" si="29"/>
        <v>#DIV/0!</v>
      </c>
    </row>
    <row r="163" spans="1:7" ht="15.75" customHeight="1">
      <c r="A163" s="76">
        <v>324</v>
      </c>
      <c r="B163" s="140" t="s">
        <v>154</v>
      </c>
      <c r="C163" s="78">
        <f>C164</f>
        <v>59.72526378658172</v>
      </c>
      <c r="D163" s="78">
        <f aca="true" t="shared" si="30" ref="D163:E163">D164</f>
        <v>0</v>
      </c>
      <c r="E163" s="78">
        <f t="shared" si="30"/>
        <v>220</v>
      </c>
      <c r="F163" s="52">
        <f t="shared" si="28"/>
        <v>368.35333333333335</v>
      </c>
      <c r="G163" s="52" t="e">
        <f t="shared" si="29"/>
        <v>#DIV/0!</v>
      </c>
    </row>
    <row r="164" spans="1:7" ht="15" customHeight="1">
      <c r="A164" s="70">
        <v>324</v>
      </c>
      <c r="B164" s="141" t="s">
        <v>155</v>
      </c>
      <c r="C164" s="83">
        <f>SUM(450/7.5345)</f>
        <v>59.72526378658172</v>
      </c>
      <c r="D164" s="83">
        <v>0</v>
      </c>
      <c r="E164" s="142">
        <v>220</v>
      </c>
      <c r="F164" s="52">
        <f t="shared" si="28"/>
        <v>368.35333333333335</v>
      </c>
      <c r="G164" s="52" t="e">
        <f t="shared" si="29"/>
        <v>#DIV/0!</v>
      </c>
    </row>
    <row r="165" spans="1:7" ht="15">
      <c r="A165" s="63">
        <v>329</v>
      </c>
      <c r="B165" s="64" t="s">
        <v>156</v>
      </c>
      <c r="C165" s="65">
        <f>SUM(C166:C173)</f>
        <v>12143.606078704626</v>
      </c>
      <c r="D165" s="65">
        <f aca="true" t="shared" si="31" ref="D165:E165">SUM(D166:D173)</f>
        <v>39255</v>
      </c>
      <c r="E165" s="65">
        <f t="shared" si="31"/>
        <v>21500.96</v>
      </c>
      <c r="F165" s="52">
        <f t="shared" si="28"/>
        <v>177.0558091282679</v>
      </c>
      <c r="G165" s="52">
        <f t="shared" si="29"/>
        <v>54.77253853012355</v>
      </c>
    </row>
    <row r="166" spans="1:7" ht="21" customHeight="1">
      <c r="A166" s="143">
        <v>329</v>
      </c>
      <c r="B166" s="144" t="s">
        <v>157</v>
      </c>
      <c r="C166" s="145">
        <v>0</v>
      </c>
      <c r="D166" s="146">
        <v>8300</v>
      </c>
      <c r="E166" s="146">
        <v>318.16</v>
      </c>
      <c r="F166" s="147" t="e">
        <f t="shared" si="28"/>
        <v>#DIV/0!</v>
      </c>
      <c r="G166" s="147">
        <f t="shared" si="29"/>
        <v>3.8332530120481936</v>
      </c>
    </row>
    <row r="167" spans="1:7" ht="15.75" customHeight="1">
      <c r="A167" s="148">
        <v>329</v>
      </c>
      <c r="B167" s="144" t="s">
        <v>158</v>
      </c>
      <c r="C167" s="145"/>
      <c r="D167" s="146">
        <v>100</v>
      </c>
      <c r="E167" s="146"/>
      <c r="F167" s="147"/>
      <c r="G167" s="147"/>
    </row>
    <row r="168" spans="1:7" ht="15">
      <c r="A168" s="143">
        <v>329</v>
      </c>
      <c r="B168" s="149" t="s">
        <v>159</v>
      </c>
      <c r="C168" s="145">
        <f>SUM(8709/7.5345)</f>
        <v>1155.8829384829783</v>
      </c>
      <c r="D168" s="146">
        <v>1800</v>
      </c>
      <c r="E168" s="146">
        <v>264.46</v>
      </c>
      <c r="F168" s="147">
        <f t="shared" si="28"/>
        <v>22.879479503961416</v>
      </c>
      <c r="G168" s="147">
        <f t="shared" si="29"/>
        <v>14.69222222222222</v>
      </c>
    </row>
    <row r="169" spans="1:7" ht="15">
      <c r="A169" s="143">
        <v>329</v>
      </c>
      <c r="B169" s="149" t="s">
        <v>160</v>
      </c>
      <c r="C169" s="145">
        <f>SUM(4958/7.5345)</f>
        <v>658.039684119716</v>
      </c>
      <c r="D169" s="146">
        <v>5000</v>
      </c>
      <c r="E169" s="150">
        <v>729.02</v>
      </c>
      <c r="F169" s="147">
        <f t="shared" si="28"/>
        <v>110.78663150463896</v>
      </c>
      <c r="G169" s="147">
        <f t="shared" si="29"/>
        <v>14.5804</v>
      </c>
    </row>
    <row r="170" spans="1:7" ht="15">
      <c r="A170" s="143">
        <v>329</v>
      </c>
      <c r="B170" s="149" t="s">
        <v>161</v>
      </c>
      <c r="C170" s="145">
        <f>SUM(20000/7.5345)</f>
        <v>2654.456168292521</v>
      </c>
      <c r="D170" s="146">
        <v>2700</v>
      </c>
      <c r="E170" s="146">
        <v>2654.46</v>
      </c>
      <c r="F170" s="147">
        <f t="shared" si="28"/>
        <v>100.00014435</v>
      </c>
      <c r="G170" s="147">
        <f t="shared" si="29"/>
        <v>98.31333333333333</v>
      </c>
    </row>
    <row r="171" spans="1:7" ht="15.75" thickBot="1">
      <c r="A171" s="70">
        <v>329</v>
      </c>
      <c r="B171" s="67" t="s">
        <v>162</v>
      </c>
      <c r="C171" s="82">
        <v>0</v>
      </c>
      <c r="D171" s="83">
        <v>70</v>
      </c>
      <c r="E171" s="83">
        <v>2729.09</v>
      </c>
      <c r="F171" s="151" t="e">
        <f t="shared" si="28"/>
        <v>#DIV/0!</v>
      </c>
      <c r="G171" s="151">
        <f t="shared" si="29"/>
        <v>3898.7000000000003</v>
      </c>
    </row>
    <row r="172" spans="1:7" ht="48.75" thickBot="1">
      <c r="A172" s="133" t="s">
        <v>30</v>
      </c>
      <c r="B172" s="134" t="s">
        <v>99</v>
      </c>
      <c r="C172" s="11" t="s">
        <v>163</v>
      </c>
      <c r="D172" s="11" t="s">
        <v>164</v>
      </c>
      <c r="E172" s="12" t="s">
        <v>8</v>
      </c>
      <c r="F172" s="47" t="s">
        <v>32</v>
      </c>
      <c r="G172" s="48" t="s">
        <v>33</v>
      </c>
    </row>
    <row r="173" spans="1:7" ht="15.75" thickTop="1">
      <c r="A173" s="63">
        <v>3299</v>
      </c>
      <c r="B173" s="64" t="s">
        <v>156</v>
      </c>
      <c r="C173" s="65">
        <f>SUM(C174:C182)</f>
        <v>7675.22728780941</v>
      </c>
      <c r="D173" s="65">
        <f>SUM(D174:D182)</f>
        <v>21285</v>
      </c>
      <c r="E173" s="65">
        <f>SUM(E174:E182)</f>
        <v>14805.769999999999</v>
      </c>
      <c r="F173" s="151">
        <f t="shared" si="28"/>
        <v>192.90334272596792</v>
      </c>
      <c r="G173" s="151">
        <f t="shared" si="29"/>
        <v>69.55964294103828</v>
      </c>
    </row>
    <row r="174" spans="1:7" ht="15">
      <c r="A174" s="152">
        <v>329</v>
      </c>
      <c r="B174" s="67" t="s">
        <v>165</v>
      </c>
      <c r="C174" s="82">
        <f>SUM(8293/7.5345)</f>
        <v>1100.6702501824939</v>
      </c>
      <c r="D174" s="83">
        <v>8000</v>
      </c>
      <c r="E174" s="83">
        <v>523.33</v>
      </c>
      <c r="F174" s="52">
        <f t="shared" si="28"/>
        <v>47.546483600627035</v>
      </c>
      <c r="G174" s="52">
        <f t="shared" si="29"/>
        <v>6.541625000000001</v>
      </c>
    </row>
    <row r="175" spans="1:7" ht="15">
      <c r="A175" s="152">
        <v>329</v>
      </c>
      <c r="B175" s="67" t="s">
        <v>166</v>
      </c>
      <c r="C175" s="82">
        <f>SUM(9929/7.5345)</f>
        <v>1317.804764748822</v>
      </c>
      <c r="D175" s="83">
        <v>2655</v>
      </c>
      <c r="E175" s="83">
        <v>5730.4</v>
      </c>
      <c r="F175" s="52">
        <f t="shared" si="28"/>
        <v>434.8443831201531</v>
      </c>
      <c r="G175" s="52">
        <f t="shared" si="29"/>
        <v>215.834274952919</v>
      </c>
    </row>
    <row r="176" spans="1:7" ht="15">
      <c r="A176" s="152">
        <v>329</v>
      </c>
      <c r="B176" s="67" t="s">
        <v>167</v>
      </c>
      <c r="C176" s="82">
        <f>SUM(4387/7.5345)</f>
        <v>582.2549605149644</v>
      </c>
      <c r="D176" s="83">
        <v>3300</v>
      </c>
      <c r="E176" s="83">
        <v>3805.57</v>
      </c>
      <c r="F176" s="52">
        <f t="shared" si="28"/>
        <v>653.5916837246411</v>
      </c>
      <c r="G176" s="52">
        <f t="shared" si="29"/>
        <v>115.32030303030302</v>
      </c>
    </row>
    <row r="177" spans="1:7" ht="15">
      <c r="A177" s="152">
        <v>329</v>
      </c>
      <c r="B177" s="67" t="s">
        <v>168</v>
      </c>
      <c r="C177" s="82">
        <f>SUM(28065/7.5345)</f>
        <v>3724.86561815648</v>
      </c>
      <c r="D177" s="153">
        <v>4300</v>
      </c>
      <c r="E177" s="83">
        <v>3718.85</v>
      </c>
      <c r="F177" s="52">
        <f t="shared" si="28"/>
        <v>99.83850106894708</v>
      </c>
      <c r="G177" s="52">
        <f t="shared" si="29"/>
        <v>86.48488372093023</v>
      </c>
    </row>
    <row r="178" spans="1:7" ht="15">
      <c r="A178" s="152">
        <v>329</v>
      </c>
      <c r="B178" s="67" t="s">
        <v>169</v>
      </c>
      <c r="C178" s="82">
        <f>SUM(3000/7.5345)</f>
        <v>398.1684252438781</v>
      </c>
      <c r="D178" s="83">
        <v>800</v>
      </c>
      <c r="E178" s="83">
        <v>398.16</v>
      </c>
      <c r="F178" s="52">
        <f t="shared" si="28"/>
        <v>99.99788400000001</v>
      </c>
      <c r="G178" s="52">
        <f t="shared" si="29"/>
        <v>49.77</v>
      </c>
    </row>
    <row r="179" spans="1:7" ht="15">
      <c r="A179" s="152">
        <v>329</v>
      </c>
      <c r="B179" s="67" t="s">
        <v>170</v>
      </c>
      <c r="C179" s="82"/>
      <c r="D179" s="83"/>
      <c r="E179" s="83">
        <v>388.16</v>
      </c>
      <c r="F179" s="52"/>
      <c r="G179" s="52"/>
    </row>
    <row r="180" spans="1:7" ht="15">
      <c r="A180" s="152">
        <v>329</v>
      </c>
      <c r="B180" s="67" t="s">
        <v>171</v>
      </c>
      <c r="C180" s="82"/>
      <c r="D180" s="83"/>
      <c r="E180" s="83">
        <v>96.31</v>
      </c>
      <c r="F180" s="52"/>
      <c r="G180" s="52"/>
    </row>
    <row r="181" spans="1:7" ht="15">
      <c r="A181" s="154">
        <v>329</v>
      </c>
      <c r="B181" s="67" t="s">
        <v>172</v>
      </c>
      <c r="C181" s="82"/>
      <c r="D181" s="83">
        <v>700</v>
      </c>
      <c r="E181" s="83">
        <v>144.99</v>
      </c>
      <c r="F181" s="52"/>
      <c r="G181" s="52"/>
    </row>
    <row r="182" spans="1:7" ht="15">
      <c r="A182" s="152">
        <v>329</v>
      </c>
      <c r="B182" s="67" t="s">
        <v>173</v>
      </c>
      <c r="C182" s="82">
        <f>SUM(4155/7.5345)</f>
        <v>551.4632689627712</v>
      </c>
      <c r="D182" s="83">
        <v>1530</v>
      </c>
      <c r="E182" s="83">
        <v>0</v>
      </c>
      <c r="F182" s="52">
        <f t="shared" si="28"/>
        <v>0</v>
      </c>
      <c r="G182" s="52">
        <f t="shared" si="29"/>
        <v>0</v>
      </c>
    </row>
    <row r="183" spans="1:7" ht="15">
      <c r="A183" s="53">
        <v>34</v>
      </c>
      <c r="B183" s="54" t="s">
        <v>174</v>
      </c>
      <c r="C183" s="55">
        <f>SUM(C184+C186)</f>
        <v>680.6025615502024</v>
      </c>
      <c r="D183" s="55">
        <f aca="true" t="shared" si="32" ref="D183:E183">SUM(D184+D186)</f>
        <v>1670</v>
      </c>
      <c r="E183" s="55">
        <f t="shared" si="32"/>
        <v>793.64</v>
      </c>
      <c r="F183" s="52">
        <f t="shared" si="28"/>
        <v>116.60843564742589</v>
      </c>
      <c r="G183" s="52">
        <f t="shared" si="29"/>
        <v>47.52335329341317</v>
      </c>
    </row>
    <row r="184" spans="1:7" ht="15">
      <c r="A184" s="63">
        <v>342</v>
      </c>
      <c r="B184" s="64" t="s">
        <v>175</v>
      </c>
      <c r="C184" s="65">
        <f>SUM(C185)</f>
        <v>0</v>
      </c>
      <c r="D184" s="65">
        <f aca="true" t="shared" si="33" ref="D184:E184">SUM(D185)</f>
        <v>0</v>
      </c>
      <c r="E184" s="65">
        <f t="shared" si="33"/>
        <v>0</v>
      </c>
      <c r="F184" s="52" t="e">
        <f t="shared" si="28"/>
        <v>#DIV/0!</v>
      </c>
      <c r="G184" s="52" t="e">
        <f t="shared" si="29"/>
        <v>#DIV/0!</v>
      </c>
    </row>
    <row r="185" spans="1:7" ht="15">
      <c r="A185" s="70">
        <v>342</v>
      </c>
      <c r="B185" s="67" t="s">
        <v>176</v>
      </c>
      <c r="C185" s="83">
        <v>0</v>
      </c>
      <c r="D185" s="83">
        <v>0</v>
      </c>
      <c r="E185" s="83">
        <v>0</v>
      </c>
      <c r="F185" s="52" t="e">
        <f t="shared" si="28"/>
        <v>#DIV/0!</v>
      </c>
      <c r="G185" s="52" t="e">
        <f t="shared" si="29"/>
        <v>#DIV/0!</v>
      </c>
    </row>
    <row r="186" spans="1:7" ht="15">
      <c r="A186" s="63">
        <v>343</v>
      </c>
      <c r="B186" s="64" t="s">
        <v>177</v>
      </c>
      <c r="C186" s="65">
        <f>SUM(C187:C191)</f>
        <v>680.6025615502024</v>
      </c>
      <c r="D186" s="65">
        <f>SUM(D187:D191)</f>
        <v>1670</v>
      </c>
      <c r="E186" s="65">
        <f>SUM(E187:E191)</f>
        <v>793.64</v>
      </c>
      <c r="F186" s="52">
        <f t="shared" si="28"/>
        <v>116.60843564742589</v>
      </c>
      <c r="G186" s="52">
        <f t="shared" si="29"/>
        <v>47.52335329341317</v>
      </c>
    </row>
    <row r="187" spans="1:7" ht="15">
      <c r="A187" s="70">
        <v>343</v>
      </c>
      <c r="B187" s="67" t="s">
        <v>178</v>
      </c>
      <c r="C187" s="82">
        <f>SUM(4378/7.5345)</f>
        <v>581.0604552392329</v>
      </c>
      <c r="D187" s="83">
        <v>1350</v>
      </c>
      <c r="E187" s="83">
        <v>696.71</v>
      </c>
      <c r="F187" s="52">
        <f t="shared" si="28"/>
        <v>119.90318627227046</v>
      </c>
      <c r="G187" s="52">
        <f t="shared" si="29"/>
        <v>51.608148148148146</v>
      </c>
    </row>
    <row r="188" spans="1:7" ht="15">
      <c r="A188" s="70">
        <v>343</v>
      </c>
      <c r="B188" s="67" t="s">
        <v>179</v>
      </c>
      <c r="C188" s="82">
        <f>SUM(714/7.5345)</f>
        <v>94.764085208043</v>
      </c>
      <c r="D188" s="83">
        <v>200</v>
      </c>
      <c r="E188" s="83">
        <v>96.25</v>
      </c>
      <c r="F188" s="52">
        <f t="shared" si="28"/>
        <v>101.56801470588235</v>
      </c>
      <c r="G188" s="52">
        <f t="shared" si="29"/>
        <v>48.125</v>
      </c>
    </row>
    <row r="189" spans="1:7" ht="15">
      <c r="A189" s="70">
        <v>343</v>
      </c>
      <c r="B189" s="67" t="s">
        <v>180</v>
      </c>
      <c r="C189" s="82"/>
      <c r="D189" s="83">
        <v>100</v>
      </c>
      <c r="E189" s="83"/>
      <c r="F189" s="52"/>
      <c r="G189" s="52"/>
    </row>
    <row r="190" spans="1:7" ht="15">
      <c r="A190" s="70">
        <v>343</v>
      </c>
      <c r="B190" s="67" t="s">
        <v>181</v>
      </c>
      <c r="C190" s="82">
        <f>SUM(36/7.5345)</f>
        <v>4.778021102926537</v>
      </c>
      <c r="D190" s="83">
        <v>10</v>
      </c>
      <c r="E190" s="83">
        <v>0</v>
      </c>
      <c r="F190" s="52">
        <f t="shared" si="28"/>
        <v>0</v>
      </c>
      <c r="G190" s="52">
        <f t="shared" si="29"/>
        <v>0</v>
      </c>
    </row>
    <row r="191" spans="1:7" ht="15">
      <c r="A191" s="70">
        <v>343</v>
      </c>
      <c r="B191" s="67" t="s">
        <v>182</v>
      </c>
      <c r="C191" s="82">
        <v>0</v>
      </c>
      <c r="D191" s="83">
        <v>10</v>
      </c>
      <c r="E191" s="83">
        <v>0.68</v>
      </c>
      <c r="F191" s="52" t="e">
        <f t="shared" si="28"/>
        <v>#DIV/0!</v>
      </c>
      <c r="G191" s="52">
        <f t="shared" si="29"/>
        <v>6.800000000000001</v>
      </c>
    </row>
    <row r="192" spans="1:7" ht="15">
      <c r="A192" s="53">
        <v>35</v>
      </c>
      <c r="B192" s="54" t="s">
        <v>183</v>
      </c>
      <c r="C192" s="55">
        <f>SUM(C193)</f>
        <v>0</v>
      </c>
      <c r="D192" s="55">
        <f aca="true" t="shared" si="34" ref="D192:E193">SUM(D193)</f>
        <v>6700</v>
      </c>
      <c r="E192" s="55">
        <f t="shared" si="34"/>
        <v>1501.07</v>
      </c>
      <c r="F192" s="52" t="e">
        <f t="shared" si="28"/>
        <v>#DIV/0!</v>
      </c>
      <c r="G192" s="52">
        <f t="shared" si="29"/>
        <v>22.40402985074627</v>
      </c>
    </row>
    <row r="193" spans="1:7" ht="15">
      <c r="A193" s="63">
        <v>352</v>
      </c>
      <c r="B193" s="64" t="s">
        <v>184</v>
      </c>
      <c r="C193" s="65">
        <f>SUM(C194)</f>
        <v>0</v>
      </c>
      <c r="D193" s="65">
        <f t="shared" si="34"/>
        <v>6700</v>
      </c>
      <c r="E193" s="65">
        <f t="shared" si="34"/>
        <v>1501.07</v>
      </c>
      <c r="F193" s="52" t="e">
        <f t="shared" si="28"/>
        <v>#DIV/0!</v>
      </c>
      <c r="G193" s="52">
        <f t="shared" si="29"/>
        <v>22.40402985074627</v>
      </c>
    </row>
    <row r="194" spans="1:7" ht="15">
      <c r="A194" s="70">
        <v>352</v>
      </c>
      <c r="B194" s="67" t="s">
        <v>183</v>
      </c>
      <c r="C194" s="83">
        <v>0</v>
      </c>
      <c r="D194" s="83">
        <v>6700</v>
      </c>
      <c r="E194" s="83">
        <v>1501.07</v>
      </c>
      <c r="F194" s="52" t="e">
        <f t="shared" si="28"/>
        <v>#DIV/0!</v>
      </c>
      <c r="G194" s="52">
        <f t="shared" si="29"/>
        <v>22.40402985074627</v>
      </c>
    </row>
    <row r="195" spans="1:7" ht="15">
      <c r="A195" s="106">
        <v>36</v>
      </c>
      <c r="B195" s="54" t="s">
        <v>185</v>
      </c>
      <c r="C195" s="107">
        <f>SUM(C196+C198)</f>
        <v>16976.97259274006</v>
      </c>
      <c r="D195" s="107">
        <f aca="true" t="shared" si="35" ref="D195">SUM(D196+D198)</f>
        <v>50880</v>
      </c>
      <c r="E195" s="107">
        <f>SUM(E196+E198)</f>
        <v>22142</v>
      </c>
      <c r="F195" s="52">
        <f t="shared" si="28"/>
        <v>130.42372471914504</v>
      </c>
      <c r="G195" s="52">
        <f t="shared" si="29"/>
        <v>43.518081761006286</v>
      </c>
    </row>
    <row r="196" spans="1:7" ht="15">
      <c r="A196" s="108">
        <v>363</v>
      </c>
      <c r="B196" s="64" t="s">
        <v>186</v>
      </c>
      <c r="C196" s="109">
        <f>C197</f>
        <v>2063.441502422191</v>
      </c>
      <c r="D196" s="109">
        <f aca="true" t="shared" si="36" ref="D196:E196">D197</f>
        <v>4500</v>
      </c>
      <c r="E196" s="109">
        <f t="shared" si="36"/>
        <v>2150.4</v>
      </c>
      <c r="F196" s="52">
        <f t="shared" si="28"/>
        <v>104.21424583520937</v>
      </c>
      <c r="G196" s="52">
        <f t="shared" si="29"/>
        <v>47.78666666666667</v>
      </c>
    </row>
    <row r="197" spans="1:7" ht="15">
      <c r="A197" s="155">
        <v>363</v>
      </c>
      <c r="B197" s="67" t="s">
        <v>187</v>
      </c>
      <c r="C197" s="102">
        <f>SUM(15547/7.5345)</f>
        <v>2063.441502422191</v>
      </c>
      <c r="D197" s="102">
        <v>4500</v>
      </c>
      <c r="E197" s="102">
        <v>2150.4</v>
      </c>
      <c r="F197" s="52">
        <f t="shared" si="28"/>
        <v>104.21424583520937</v>
      </c>
      <c r="G197" s="52">
        <f t="shared" si="29"/>
        <v>47.78666666666667</v>
      </c>
    </row>
    <row r="198" spans="1:7" ht="15">
      <c r="A198" s="76">
        <v>366</v>
      </c>
      <c r="B198" s="77" t="s">
        <v>188</v>
      </c>
      <c r="C198" s="78">
        <f>C199</f>
        <v>14913.53109031787</v>
      </c>
      <c r="D198" s="78">
        <f aca="true" t="shared" si="37" ref="D198">D199</f>
        <v>46380</v>
      </c>
      <c r="E198" s="78">
        <f>E199+E200</f>
        <v>19991.6</v>
      </c>
      <c r="F198" s="52">
        <f t="shared" si="28"/>
        <v>134.05007760354556</v>
      </c>
      <c r="G198" s="52">
        <f t="shared" si="29"/>
        <v>43.103924105217764</v>
      </c>
    </row>
    <row r="199" spans="1:7" ht="15">
      <c r="A199" s="70">
        <v>366</v>
      </c>
      <c r="B199" s="67" t="s">
        <v>189</v>
      </c>
      <c r="C199" s="83">
        <f>SUM(112366/7.5345)</f>
        <v>14913.53109031787</v>
      </c>
      <c r="D199" s="83">
        <v>46380</v>
      </c>
      <c r="E199" s="83">
        <v>19991.6</v>
      </c>
      <c r="F199" s="52">
        <f t="shared" si="28"/>
        <v>134.05007760354556</v>
      </c>
      <c r="G199" s="52">
        <f t="shared" si="29"/>
        <v>43.103924105217764</v>
      </c>
    </row>
    <row r="200" spans="1:7" ht="15">
      <c r="A200" s="70">
        <v>367</v>
      </c>
      <c r="B200" s="67" t="s">
        <v>190</v>
      </c>
      <c r="C200" s="83"/>
      <c r="D200" s="83"/>
      <c r="E200" s="138">
        <v>0</v>
      </c>
      <c r="F200" s="52"/>
      <c r="G200" s="52"/>
    </row>
    <row r="201" spans="1:7" ht="45" customHeight="1">
      <c r="A201" s="60">
        <v>37</v>
      </c>
      <c r="B201" s="61" t="s">
        <v>191</v>
      </c>
      <c r="C201" s="62">
        <f>SUM(C202)</f>
        <v>8716.039551396907</v>
      </c>
      <c r="D201" s="62">
        <f aca="true" t="shared" si="38" ref="D201:E201">SUM(D202)</f>
        <v>29305</v>
      </c>
      <c r="E201" s="62">
        <f t="shared" si="38"/>
        <v>7871.110000000001</v>
      </c>
      <c r="F201" s="52">
        <f t="shared" si="28"/>
        <v>90.30603812184984</v>
      </c>
      <c r="G201" s="52">
        <f t="shared" si="29"/>
        <v>26.859273161576525</v>
      </c>
    </row>
    <row r="202" spans="1:7" ht="15">
      <c r="A202" s="63">
        <v>372</v>
      </c>
      <c r="B202" s="64" t="s">
        <v>192</v>
      </c>
      <c r="C202" s="65">
        <f>SUM(C203:C212)</f>
        <v>8716.039551396907</v>
      </c>
      <c r="D202" s="65">
        <f>SUM(D203:D212)</f>
        <v>29305</v>
      </c>
      <c r="E202" s="65">
        <f>SUM(E203:E212)</f>
        <v>7871.110000000001</v>
      </c>
      <c r="F202" s="52">
        <f t="shared" si="28"/>
        <v>90.30603812184984</v>
      </c>
      <c r="G202" s="52">
        <f t="shared" si="29"/>
        <v>26.859273161576525</v>
      </c>
    </row>
    <row r="203" spans="1:7" ht="15">
      <c r="A203" s="70">
        <v>372</v>
      </c>
      <c r="B203" s="67" t="s">
        <v>193</v>
      </c>
      <c r="C203" s="82">
        <f>SUM(22500/7.5345)</f>
        <v>2986.263189329086</v>
      </c>
      <c r="D203" s="83">
        <v>0</v>
      </c>
      <c r="E203" s="83">
        <v>1657.4</v>
      </c>
      <c r="F203" s="52">
        <f t="shared" si="28"/>
        <v>55.500801333333335</v>
      </c>
      <c r="G203" s="52" t="e">
        <f t="shared" si="29"/>
        <v>#DIV/0!</v>
      </c>
    </row>
    <row r="204" spans="1:7" ht="15">
      <c r="A204" s="84">
        <v>372</v>
      </c>
      <c r="B204" s="67" t="s">
        <v>194</v>
      </c>
      <c r="C204" s="82"/>
      <c r="D204" s="83">
        <v>3720</v>
      </c>
      <c r="E204" s="83">
        <v>540</v>
      </c>
      <c r="F204" s="52"/>
      <c r="G204" s="52">
        <f t="shared" si="29"/>
        <v>14.516129032258066</v>
      </c>
    </row>
    <row r="205" spans="1:7" ht="15">
      <c r="A205" s="84">
        <v>372</v>
      </c>
      <c r="B205" s="67" t="s">
        <v>195</v>
      </c>
      <c r="C205" s="82"/>
      <c r="D205" s="83">
        <v>1065</v>
      </c>
      <c r="E205" s="83">
        <v>215</v>
      </c>
      <c r="F205" s="52"/>
      <c r="G205" s="52">
        <f t="shared" si="29"/>
        <v>20.187793427230048</v>
      </c>
    </row>
    <row r="206" spans="1:7" ht="15">
      <c r="A206" s="84">
        <v>372</v>
      </c>
      <c r="B206" s="67" t="s">
        <v>196</v>
      </c>
      <c r="C206" s="82"/>
      <c r="D206" s="83">
        <v>3720</v>
      </c>
      <c r="E206" s="83"/>
      <c r="F206" s="52"/>
      <c r="G206" s="52"/>
    </row>
    <row r="207" spans="1:7" ht="15">
      <c r="A207" s="84">
        <v>372</v>
      </c>
      <c r="B207" s="67" t="s">
        <v>197</v>
      </c>
      <c r="C207" s="82"/>
      <c r="D207" s="83">
        <v>500</v>
      </c>
      <c r="E207" s="83">
        <v>120</v>
      </c>
      <c r="F207" s="52"/>
      <c r="G207" s="52"/>
    </row>
    <row r="208" spans="1:7" ht="15">
      <c r="A208" s="70">
        <v>372</v>
      </c>
      <c r="B208" s="67" t="s">
        <v>198</v>
      </c>
      <c r="C208" s="82">
        <f>SUM(36509/7.5345)</f>
        <v>4845.5770124095825</v>
      </c>
      <c r="D208" s="83">
        <v>9000</v>
      </c>
      <c r="E208" s="83">
        <v>0</v>
      </c>
      <c r="F208" s="52">
        <f t="shared" si="28"/>
        <v>0</v>
      </c>
      <c r="G208" s="52">
        <f t="shared" si="29"/>
        <v>0</v>
      </c>
    </row>
    <row r="209" spans="1:7" ht="15">
      <c r="A209" s="70">
        <v>372</v>
      </c>
      <c r="B209" s="67" t="s">
        <v>199</v>
      </c>
      <c r="C209" s="82">
        <f>SUM(1700/7.5345)</f>
        <v>225.62877430486427</v>
      </c>
      <c r="D209" s="83">
        <v>600</v>
      </c>
      <c r="E209" s="83">
        <v>0</v>
      </c>
      <c r="F209" s="52">
        <f t="shared" si="28"/>
        <v>0</v>
      </c>
      <c r="G209" s="52">
        <f t="shared" si="29"/>
        <v>0</v>
      </c>
    </row>
    <row r="210" spans="1:7" ht="15">
      <c r="A210" s="70">
        <v>372</v>
      </c>
      <c r="B210" s="67" t="s">
        <v>200</v>
      </c>
      <c r="C210" s="82">
        <f>SUM(4962/7.5345)</f>
        <v>658.5705753533745</v>
      </c>
      <c r="D210" s="83">
        <v>1700</v>
      </c>
      <c r="E210" s="83">
        <v>5338.71</v>
      </c>
      <c r="F210" s="52">
        <f t="shared" si="28"/>
        <v>810.6511587061669</v>
      </c>
      <c r="G210" s="52">
        <f t="shared" si="29"/>
        <v>314.0417647058824</v>
      </c>
    </row>
    <row r="211" spans="1:7" ht="15">
      <c r="A211" s="70">
        <v>372</v>
      </c>
      <c r="B211" s="67" t="s">
        <v>201</v>
      </c>
      <c r="C211" s="82">
        <v>0</v>
      </c>
      <c r="D211" s="83">
        <v>0</v>
      </c>
      <c r="E211" s="83">
        <v>0</v>
      </c>
      <c r="F211" s="52" t="e">
        <f t="shared" si="28"/>
        <v>#DIV/0!</v>
      </c>
      <c r="G211" s="52" t="e">
        <f t="shared" si="29"/>
        <v>#DIV/0!</v>
      </c>
    </row>
    <row r="212" spans="1:7" ht="15">
      <c r="A212" s="70">
        <v>372</v>
      </c>
      <c r="B212" s="67" t="s">
        <v>202</v>
      </c>
      <c r="C212" s="82">
        <v>0</v>
      </c>
      <c r="D212" s="83">
        <v>9000</v>
      </c>
      <c r="E212" s="83">
        <v>0</v>
      </c>
      <c r="F212" s="52" t="e">
        <f t="shared" si="28"/>
        <v>#DIV/0!</v>
      </c>
      <c r="G212" s="52">
        <f t="shared" si="29"/>
        <v>0</v>
      </c>
    </row>
    <row r="213" spans="1:7" ht="15">
      <c r="A213" s="53">
        <v>38</v>
      </c>
      <c r="B213" s="54" t="s">
        <v>203</v>
      </c>
      <c r="C213" s="55">
        <f>SUM(C214+C237+C247+C249)</f>
        <v>43860.64105116464</v>
      </c>
      <c r="D213" s="55">
        <f>SUM(D214+D237+D247+D249)</f>
        <v>75505</v>
      </c>
      <c r="E213" s="55">
        <f>SUM(E214+E237+E247+E249)</f>
        <v>44082.84</v>
      </c>
      <c r="F213" s="52">
        <f aca="true" t="shared" si="39" ref="F213:F276">E213/C213*100</f>
        <v>100.50660214604743</v>
      </c>
      <c r="G213" s="52">
        <f aca="true" t="shared" si="40" ref="G213:G276">E213/D213*100</f>
        <v>58.38400105953247</v>
      </c>
    </row>
    <row r="214" spans="1:7" ht="15">
      <c r="A214" s="63">
        <v>381</v>
      </c>
      <c r="B214" s="64" t="s">
        <v>204</v>
      </c>
      <c r="C214" s="65">
        <f>SUM(C215+C233)</f>
        <v>27270.28999933638</v>
      </c>
      <c r="D214" s="65">
        <f>SUM(D215+D233)</f>
        <v>44615</v>
      </c>
      <c r="E214" s="65">
        <f>SUM(E215+E233)</f>
        <v>28648.21</v>
      </c>
      <c r="F214" s="52">
        <f t="shared" si="39"/>
        <v>105.05282489000723</v>
      </c>
      <c r="G214" s="52">
        <f t="shared" si="40"/>
        <v>64.21205872464417</v>
      </c>
    </row>
    <row r="215" spans="1:7" ht="15">
      <c r="A215" s="63">
        <v>381</v>
      </c>
      <c r="B215" s="64" t="s">
        <v>205</v>
      </c>
      <c r="C215" s="65">
        <f>SUM(C216:C232)</f>
        <v>25019.31116862432</v>
      </c>
      <c r="D215" s="65">
        <f aca="true" t="shared" si="41" ref="D215">SUM(D216:D232)</f>
        <v>39300</v>
      </c>
      <c r="E215" s="65">
        <v>28648.21</v>
      </c>
      <c r="F215" s="52">
        <f t="shared" si="39"/>
        <v>114.50439145553509</v>
      </c>
      <c r="G215" s="52">
        <f t="shared" si="40"/>
        <v>72.89620865139949</v>
      </c>
    </row>
    <row r="216" spans="1:7" ht="15">
      <c r="A216" s="155">
        <v>381</v>
      </c>
      <c r="B216" s="156" t="s">
        <v>206</v>
      </c>
      <c r="C216" s="102">
        <v>0</v>
      </c>
      <c r="D216" s="102">
        <v>0</v>
      </c>
      <c r="E216" s="102">
        <v>0</v>
      </c>
      <c r="F216" s="52" t="e">
        <f t="shared" si="39"/>
        <v>#DIV/0!</v>
      </c>
      <c r="G216" s="52" t="e">
        <f t="shared" si="40"/>
        <v>#DIV/0!</v>
      </c>
    </row>
    <row r="217" spans="1:7" ht="15">
      <c r="A217" s="155">
        <v>381</v>
      </c>
      <c r="B217" s="157" t="s">
        <v>207</v>
      </c>
      <c r="C217" s="59">
        <f>SUM(20000/7.5345)</f>
        <v>2654.456168292521</v>
      </c>
      <c r="D217" s="59">
        <v>2700</v>
      </c>
      <c r="E217" s="59">
        <v>2655</v>
      </c>
      <c r="F217" s="52">
        <f t="shared" si="39"/>
        <v>100.02048750000002</v>
      </c>
      <c r="G217" s="52">
        <f t="shared" si="40"/>
        <v>98.33333333333333</v>
      </c>
    </row>
    <row r="218" spans="1:7" ht="15">
      <c r="A218" s="155">
        <v>381</v>
      </c>
      <c r="B218" s="67" t="s">
        <v>208</v>
      </c>
      <c r="C218" s="82">
        <v>0</v>
      </c>
      <c r="D218" s="83">
        <v>0</v>
      </c>
      <c r="E218" s="83">
        <v>0</v>
      </c>
      <c r="F218" s="52" t="e">
        <f t="shared" si="39"/>
        <v>#DIV/0!</v>
      </c>
      <c r="G218" s="52" t="e">
        <f t="shared" si="40"/>
        <v>#DIV/0!</v>
      </c>
    </row>
    <row r="219" spans="1:7" ht="15">
      <c r="A219" s="155">
        <v>381</v>
      </c>
      <c r="B219" s="67" t="s">
        <v>209</v>
      </c>
      <c r="C219" s="82">
        <f>SUM(10000/7.5345)</f>
        <v>1327.2280841462605</v>
      </c>
      <c r="D219" s="83">
        <v>1500</v>
      </c>
      <c r="E219" s="83">
        <v>1500</v>
      </c>
      <c r="F219" s="52">
        <f t="shared" si="39"/>
        <v>113.01750000000001</v>
      </c>
      <c r="G219" s="52">
        <f t="shared" si="40"/>
        <v>100</v>
      </c>
    </row>
    <row r="220" spans="1:7" ht="15">
      <c r="A220" s="155">
        <v>381</v>
      </c>
      <c r="B220" s="67" t="s">
        <v>210</v>
      </c>
      <c r="C220" s="82">
        <f>SUM(7152/7.5345)</f>
        <v>949.2335257814054</v>
      </c>
      <c r="D220" s="83">
        <v>2000</v>
      </c>
      <c r="E220" s="83">
        <v>29.35</v>
      </c>
      <c r="F220" s="52">
        <f t="shared" si="39"/>
        <v>3.0919683305369134</v>
      </c>
      <c r="G220" s="52">
        <f t="shared" si="40"/>
        <v>1.4675</v>
      </c>
    </row>
    <row r="221" spans="1:7" ht="15">
      <c r="A221" s="155">
        <v>381</v>
      </c>
      <c r="B221" s="67" t="s">
        <v>211</v>
      </c>
      <c r="C221" s="82">
        <v>0</v>
      </c>
      <c r="D221" s="83">
        <v>0</v>
      </c>
      <c r="E221" s="83">
        <v>0</v>
      </c>
      <c r="F221" s="52" t="e">
        <f t="shared" si="39"/>
        <v>#DIV/0!</v>
      </c>
      <c r="G221" s="52" t="e">
        <f t="shared" si="40"/>
        <v>#DIV/0!</v>
      </c>
    </row>
    <row r="222" spans="1:7" ht="15">
      <c r="A222" s="155">
        <v>381</v>
      </c>
      <c r="B222" s="67" t="s">
        <v>212</v>
      </c>
      <c r="C222" s="82">
        <f>SUM(80921/7.5345)</f>
        <v>10740.062379719955</v>
      </c>
      <c r="D222" s="83">
        <v>15000</v>
      </c>
      <c r="E222" s="83">
        <v>14500</v>
      </c>
      <c r="F222" s="52">
        <f t="shared" si="39"/>
        <v>135.00852683481418</v>
      </c>
      <c r="G222" s="52">
        <f t="shared" si="40"/>
        <v>96.66666666666667</v>
      </c>
    </row>
    <row r="223" spans="1:7" ht="15">
      <c r="A223" s="155">
        <v>381</v>
      </c>
      <c r="B223" s="67" t="s">
        <v>213</v>
      </c>
      <c r="C223" s="82">
        <f>SUM(5648/7.5345)</f>
        <v>749.6184219258079</v>
      </c>
      <c r="D223" s="83">
        <v>1500</v>
      </c>
      <c r="E223" s="83">
        <v>537.6</v>
      </c>
      <c r="F223" s="52">
        <f t="shared" si="39"/>
        <v>71.71648725212467</v>
      </c>
      <c r="G223" s="52">
        <f t="shared" si="40"/>
        <v>35.839999999999996</v>
      </c>
    </row>
    <row r="224" spans="1:7" ht="15">
      <c r="A224" s="155">
        <v>381</v>
      </c>
      <c r="B224" s="67" t="s">
        <v>214</v>
      </c>
      <c r="C224" s="82">
        <v>0</v>
      </c>
      <c r="D224" s="83">
        <v>0</v>
      </c>
      <c r="E224" s="83">
        <v>0</v>
      </c>
      <c r="F224" s="52" t="e">
        <f t="shared" si="39"/>
        <v>#DIV/0!</v>
      </c>
      <c r="G224" s="52" t="e">
        <f t="shared" si="40"/>
        <v>#DIV/0!</v>
      </c>
    </row>
    <row r="225" spans="1:7" ht="15">
      <c r="A225" s="155">
        <v>381</v>
      </c>
      <c r="B225" s="67" t="s">
        <v>215</v>
      </c>
      <c r="C225" s="82">
        <v>0</v>
      </c>
      <c r="D225" s="83">
        <v>0</v>
      </c>
      <c r="E225" s="83">
        <v>0</v>
      </c>
      <c r="F225" s="52" t="e">
        <f t="shared" si="39"/>
        <v>#DIV/0!</v>
      </c>
      <c r="G225" s="52" t="e">
        <f t="shared" si="40"/>
        <v>#DIV/0!</v>
      </c>
    </row>
    <row r="226" spans="1:7" ht="15">
      <c r="A226" s="155">
        <v>381</v>
      </c>
      <c r="B226" s="67" t="s">
        <v>216</v>
      </c>
      <c r="C226" s="82">
        <v>0</v>
      </c>
      <c r="D226" s="83">
        <v>0</v>
      </c>
      <c r="E226" s="83">
        <v>0</v>
      </c>
      <c r="F226" s="52" t="e">
        <f t="shared" si="39"/>
        <v>#DIV/0!</v>
      </c>
      <c r="G226" s="52" t="e">
        <f t="shared" si="40"/>
        <v>#DIV/0!</v>
      </c>
    </row>
    <row r="227" spans="1:7" ht="15">
      <c r="A227" s="155">
        <v>381</v>
      </c>
      <c r="B227" s="67" t="s">
        <v>217</v>
      </c>
      <c r="C227" s="82">
        <v>0</v>
      </c>
      <c r="D227" s="83">
        <v>0</v>
      </c>
      <c r="E227" s="83">
        <v>0</v>
      </c>
      <c r="F227" s="52" t="e">
        <f t="shared" si="39"/>
        <v>#DIV/0!</v>
      </c>
      <c r="G227" s="52" t="e">
        <f t="shared" si="40"/>
        <v>#DIV/0!</v>
      </c>
    </row>
    <row r="228" spans="1:7" ht="15">
      <c r="A228" s="155">
        <v>381</v>
      </c>
      <c r="B228" s="67" t="s">
        <v>218</v>
      </c>
      <c r="C228" s="82">
        <f>SUM(30000/7.5345)</f>
        <v>3981.684252438781</v>
      </c>
      <c r="D228" s="83">
        <v>5000</v>
      </c>
      <c r="E228" s="83">
        <v>1750</v>
      </c>
      <c r="F228" s="52">
        <f t="shared" si="39"/>
        <v>43.95125</v>
      </c>
      <c r="G228" s="52">
        <f t="shared" si="40"/>
        <v>35</v>
      </c>
    </row>
    <row r="229" spans="1:7" ht="15">
      <c r="A229" s="155">
        <v>381</v>
      </c>
      <c r="B229" s="67" t="s">
        <v>219</v>
      </c>
      <c r="C229" s="82">
        <f>SUM(1987/7.5345)</f>
        <v>263.72022031986194</v>
      </c>
      <c r="D229" s="83">
        <v>6600</v>
      </c>
      <c r="E229" s="83">
        <v>6030.58</v>
      </c>
      <c r="F229" s="52">
        <f t="shared" si="39"/>
        <v>2286.7340216406647</v>
      </c>
      <c r="G229" s="52">
        <f t="shared" si="40"/>
        <v>91.37242424242424</v>
      </c>
    </row>
    <row r="230" spans="1:7" ht="15">
      <c r="A230" s="155">
        <v>381</v>
      </c>
      <c r="B230" s="67" t="s">
        <v>220</v>
      </c>
      <c r="C230" s="82">
        <f>SUM(19000/7.5345)</f>
        <v>2521.733359877895</v>
      </c>
      <c r="D230" s="83">
        <v>3600</v>
      </c>
      <c r="E230" s="83">
        <v>0</v>
      </c>
      <c r="F230" s="52">
        <f t="shared" si="39"/>
        <v>0</v>
      </c>
      <c r="G230" s="52">
        <f t="shared" si="40"/>
        <v>0</v>
      </c>
    </row>
    <row r="231" spans="1:7" ht="15">
      <c r="A231" s="155">
        <v>381</v>
      </c>
      <c r="B231" s="67" t="s">
        <v>221</v>
      </c>
      <c r="C231" s="82">
        <f>SUM(6800/7.5345)</f>
        <v>902.5150972194571</v>
      </c>
      <c r="D231" s="83">
        <v>0</v>
      </c>
      <c r="E231" s="83">
        <v>0</v>
      </c>
      <c r="F231" s="52">
        <f t="shared" si="39"/>
        <v>0</v>
      </c>
      <c r="G231" s="52" t="e">
        <f t="shared" si="40"/>
        <v>#DIV/0!</v>
      </c>
    </row>
    <row r="232" spans="1:7" ht="15">
      <c r="A232" s="155">
        <v>381</v>
      </c>
      <c r="B232" s="67" t="s">
        <v>222</v>
      </c>
      <c r="C232" s="82">
        <f>SUM(7000/7.5345)</f>
        <v>929.0596589023824</v>
      </c>
      <c r="D232" s="83">
        <v>1400</v>
      </c>
      <c r="E232" s="83">
        <v>1645.68</v>
      </c>
      <c r="F232" s="52">
        <f t="shared" si="39"/>
        <v>177.1339422857143</v>
      </c>
      <c r="G232" s="52">
        <f t="shared" si="40"/>
        <v>117.54857142857142</v>
      </c>
    </row>
    <row r="233" spans="1:7" ht="15">
      <c r="A233" s="158">
        <v>381</v>
      </c>
      <c r="B233" s="159" t="s">
        <v>223</v>
      </c>
      <c r="C233" s="160">
        <f>C234+C235+C236</f>
        <v>2250.978830712058</v>
      </c>
      <c r="D233" s="160">
        <f aca="true" t="shared" si="42" ref="D233">D234+D235+D236</f>
        <v>5315</v>
      </c>
      <c r="E233" s="160">
        <f>E234+E235+E236</f>
        <v>0</v>
      </c>
      <c r="F233" s="52">
        <f t="shared" si="39"/>
        <v>0</v>
      </c>
      <c r="G233" s="52">
        <f t="shared" si="40"/>
        <v>0</v>
      </c>
    </row>
    <row r="234" spans="1:7" ht="15">
      <c r="A234" s="161">
        <v>381</v>
      </c>
      <c r="B234" s="162" t="s">
        <v>224</v>
      </c>
      <c r="C234" s="163">
        <f>SUM(15360/7.5345)</f>
        <v>2038.622337248656</v>
      </c>
      <c r="D234" s="153">
        <v>4650</v>
      </c>
      <c r="E234" s="153">
        <v>0</v>
      </c>
      <c r="F234" s="52">
        <f t="shared" si="39"/>
        <v>0</v>
      </c>
      <c r="G234" s="52">
        <f t="shared" si="40"/>
        <v>0</v>
      </c>
    </row>
    <row r="235" spans="1:7" ht="15">
      <c r="A235" s="161">
        <v>381</v>
      </c>
      <c r="B235" s="162" t="s">
        <v>225</v>
      </c>
      <c r="C235" s="163">
        <f>SUM(1600/7.5345)</f>
        <v>212.35649346340168</v>
      </c>
      <c r="D235" s="153">
        <v>665</v>
      </c>
      <c r="E235" s="153">
        <v>0</v>
      </c>
      <c r="F235" s="52">
        <f t="shared" si="39"/>
        <v>0</v>
      </c>
      <c r="G235" s="52">
        <f t="shared" si="40"/>
        <v>0</v>
      </c>
    </row>
    <row r="236" spans="1:7" ht="15">
      <c r="A236" s="161">
        <v>381</v>
      </c>
      <c r="B236" s="162" t="s">
        <v>223</v>
      </c>
      <c r="C236" s="163">
        <v>0</v>
      </c>
      <c r="D236" s="153">
        <v>0</v>
      </c>
      <c r="E236" s="153">
        <v>0</v>
      </c>
      <c r="F236" s="52" t="e">
        <f t="shared" si="39"/>
        <v>#DIV/0!</v>
      </c>
      <c r="G236" s="52" t="e">
        <f t="shared" si="40"/>
        <v>#DIV/0!</v>
      </c>
    </row>
    <row r="237" spans="1:7" ht="15">
      <c r="A237" s="164">
        <v>382</v>
      </c>
      <c r="B237" s="64" t="s">
        <v>226</v>
      </c>
      <c r="C237" s="65">
        <f>SUM(C238+C245)</f>
        <v>16590.351051828256</v>
      </c>
      <c r="D237" s="65">
        <f>SUM(D238+D245)</f>
        <v>28190</v>
      </c>
      <c r="E237" s="65">
        <f>SUM(E238+E245)</f>
        <v>14536.68</v>
      </c>
      <c r="F237" s="52">
        <f t="shared" si="39"/>
        <v>87.621292368</v>
      </c>
      <c r="G237" s="52">
        <f t="shared" si="40"/>
        <v>51.566796736431364</v>
      </c>
    </row>
    <row r="238" spans="1:7" ht="15">
      <c r="A238" s="164">
        <v>382</v>
      </c>
      <c r="B238" s="64" t="s">
        <v>227</v>
      </c>
      <c r="C238" s="65">
        <f>SUM(C239:C244)</f>
        <v>16590.351051828256</v>
      </c>
      <c r="D238" s="65">
        <f>SUM(D239:D244)</f>
        <v>12190</v>
      </c>
      <c r="E238" s="65">
        <f>SUM(E239:E244)</f>
        <v>10555</v>
      </c>
      <c r="F238" s="52">
        <f t="shared" si="39"/>
        <v>63.621318</v>
      </c>
      <c r="G238" s="52">
        <f t="shared" si="40"/>
        <v>86.58736669401148</v>
      </c>
    </row>
    <row r="239" spans="1:7" ht="27" customHeight="1">
      <c r="A239" s="165">
        <v>382</v>
      </c>
      <c r="B239" s="166" t="s">
        <v>228</v>
      </c>
      <c r="C239" s="102">
        <v>0</v>
      </c>
      <c r="D239" s="102">
        <v>1540</v>
      </c>
      <c r="E239" s="102">
        <v>0</v>
      </c>
      <c r="F239" s="52" t="e">
        <f t="shared" si="39"/>
        <v>#DIV/0!</v>
      </c>
      <c r="G239" s="52">
        <f t="shared" si="40"/>
        <v>0</v>
      </c>
    </row>
    <row r="240" spans="1:7" ht="14.25" customHeight="1">
      <c r="A240" s="167">
        <v>382</v>
      </c>
      <c r="B240" s="166" t="s">
        <v>229</v>
      </c>
      <c r="C240" s="102"/>
      <c r="D240" s="102">
        <v>3300</v>
      </c>
      <c r="E240" s="102"/>
      <c r="F240" s="52"/>
      <c r="G240" s="52"/>
    </row>
    <row r="241" spans="1:7" ht="15">
      <c r="A241" s="139">
        <v>382</v>
      </c>
      <c r="B241" s="67" t="s">
        <v>230</v>
      </c>
      <c r="C241" s="82">
        <f>SUM(100000/7.5345)</f>
        <v>13272.280841462605</v>
      </c>
      <c r="D241" s="83">
        <v>6650</v>
      </c>
      <c r="E241" s="83">
        <v>6650</v>
      </c>
      <c r="F241" s="52">
        <f t="shared" si="39"/>
        <v>50.104425</v>
      </c>
      <c r="G241" s="52">
        <f t="shared" si="40"/>
        <v>100</v>
      </c>
    </row>
    <row r="242" spans="1:7" ht="15">
      <c r="A242" s="139">
        <v>382</v>
      </c>
      <c r="B242" s="67" t="s">
        <v>231</v>
      </c>
      <c r="C242" s="82">
        <f>SUM(25000/7.5345)</f>
        <v>3318.0702103656513</v>
      </c>
      <c r="D242" s="83">
        <v>0</v>
      </c>
      <c r="E242" s="83">
        <v>3300</v>
      </c>
      <c r="F242" s="52">
        <f t="shared" si="39"/>
        <v>99.45540000000001</v>
      </c>
      <c r="G242" s="52" t="e">
        <f t="shared" si="40"/>
        <v>#DIV/0!</v>
      </c>
    </row>
    <row r="243" spans="1:7" ht="15">
      <c r="A243" s="139">
        <v>382</v>
      </c>
      <c r="B243" s="67" t="s">
        <v>232</v>
      </c>
      <c r="C243" s="82">
        <v>0</v>
      </c>
      <c r="D243" s="83">
        <v>0</v>
      </c>
      <c r="E243" s="83">
        <v>0</v>
      </c>
      <c r="F243" s="52" t="e">
        <f t="shared" si="39"/>
        <v>#DIV/0!</v>
      </c>
      <c r="G243" s="52" t="e">
        <f t="shared" si="40"/>
        <v>#DIV/0!</v>
      </c>
    </row>
    <row r="244" spans="1:7" ht="15">
      <c r="A244" s="139">
        <v>382</v>
      </c>
      <c r="B244" s="67" t="s">
        <v>233</v>
      </c>
      <c r="C244" s="82">
        <v>0</v>
      </c>
      <c r="D244" s="83">
        <v>700</v>
      </c>
      <c r="E244" s="83">
        <v>605</v>
      </c>
      <c r="F244" s="52" t="e">
        <f t="shared" si="39"/>
        <v>#DIV/0!</v>
      </c>
      <c r="G244" s="52">
        <f t="shared" si="40"/>
        <v>86.42857142857143</v>
      </c>
    </row>
    <row r="245" spans="1:7" ht="15">
      <c r="A245" s="168">
        <v>382</v>
      </c>
      <c r="B245" s="77" t="s">
        <v>234</v>
      </c>
      <c r="C245" s="169">
        <f>SUM(C246)</f>
        <v>0</v>
      </c>
      <c r="D245" s="169">
        <f aca="true" t="shared" si="43" ref="D245:E245">SUM(D246)</f>
        <v>16000</v>
      </c>
      <c r="E245" s="169">
        <f t="shared" si="43"/>
        <v>3981.68</v>
      </c>
      <c r="F245" s="52" t="e">
        <f t="shared" si="39"/>
        <v>#DIV/0!</v>
      </c>
      <c r="G245" s="52">
        <f t="shared" si="40"/>
        <v>24.8855</v>
      </c>
    </row>
    <row r="246" spans="1:7" ht="15">
      <c r="A246" s="165">
        <v>382</v>
      </c>
      <c r="B246" s="156" t="s">
        <v>235</v>
      </c>
      <c r="C246" s="101">
        <v>0</v>
      </c>
      <c r="D246" s="102">
        <v>16000</v>
      </c>
      <c r="E246" s="102">
        <v>3981.68</v>
      </c>
      <c r="F246" s="52" t="e">
        <f t="shared" si="39"/>
        <v>#DIV/0!</v>
      </c>
      <c r="G246" s="52">
        <f t="shared" si="40"/>
        <v>24.8855</v>
      </c>
    </row>
    <row r="247" spans="1:7" ht="15">
      <c r="A247" s="108">
        <v>385</v>
      </c>
      <c r="B247" s="64" t="s">
        <v>236</v>
      </c>
      <c r="C247" s="109">
        <f>SUM(C248)</f>
        <v>0</v>
      </c>
      <c r="D247" s="109">
        <f aca="true" t="shared" si="44" ref="D247:E249">SUM(D248)</f>
        <v>2700</v>
      </c>
      <c r="E247" s="109">
        <f t="shared" si="44"/>
        <v>0</v>
      </c>
      <c r="F247" s="52" t="e">
        <f t="shared" si="39"/>
        <v>#DIV/0!</v>
      </c>
      <c r="G247" s="52">
        <f t="shared" si="40"/>
        <v>0</v>
      </c>
    </row>
    <row r="248" spans="1:7" ht="15">
      <c r="A248" s="70">
        <v>385</v>
      </c>
      <c r="B248" s="67" t="s">
        <v>237</v>
      </c>
      <c r="C248" s="83">
        <v>0</v>
      </c>
      <c r="D248" s="83">
        <v>2700</v>
      </c>
      <c r="E248" s="153">
        <v>0</v>
      </c>
      <c r="F248" s="52" t="e">
        <f t="shared" si="39"/>
        <v>#DIV/0!</v>
      </c>
      <c r="G248" s="52">
        <f t="shared" si="40"/>
        <v>0</v>
      </c>
    </row>
    <row r="249" spans="1:7" ht="15">
      <c r="A249" s="108">
        <v>386</v>
      </c>
      <c r="B249" s="64" t="s">
        <v>238</v>
      </c>
      <c r="C249" s="109">
        <f>SUM(C250)</f>
        <v>0</v>
      </c>
      <c r="D249" s="109">
        <f t="shared" si="44"/>
        <v>0</v>
      </c>
      <c r="E249" s="109">
        <f t="shared" si="44"/>
        <v>897.95</v>
      </c>
      <c r="F249" s="52" t="e">
        <f t="shared" si="39"/>
        <v>#DIV/0!</v>
      </c>
      <c r="G249" s="52" t="e">
        <f t="shared" si="40"/>
        <v>#DIV/0!</v>
      </c>
    </row>
    <row r="250" spans="1:7" ht="15">
      <c r="A250" s="70">
        <v>386</v>
      </c>
      <c r="B250" s="67" t="s">
        <v>239</v>
      </c>
      <c r="C250" s="83">
        <v>0</v>
      </c>
      <c r="D250" s="83">
        <v>0</v>
      </c>
      <c r="E250" s="153">
        <v>897.95</v>
      </c>
      <c r="F250" s="52" t="e">
        <f t="shared" si="39"/>
        <v>#DIV/0!</v>
      </c>
      <c r="G250" s="52" t="e">
        <f t="shared" si="40"/>
        <v>#DIV/0!</v>
      </c>
    </row>
    <row r="251" spans="1:7" ht="15">
      <c r="A251" s="170">
        <v>4</v>
      </c>
      <c r="B251" s="171" t="s">
        <v>240</v>
      </c>
      <c r="C251" s="172">
        <f>SUM(C252+C257+C306)</f>
        <v>204150.24221912533</v>
      </c>
      <c r="D251" s="172">
        <f>SUM(D252+D257+D306)</f>
        <v>839780</v>
      </c>
      <c r="E251" s="172">
        <f>SUM(E252+E257+E306)</f>
        <v>205716.75000000003</v>
      </c>
      <c r="F251" s="52">
        <f t="shared" si="39"/>
        <v>100.76733084607037</v>
      </c>
      <c r="G251" s="52">
        <f t="shared" si="40"/>
        <v>24.49650503703351</v>
      </c>
    </row>
    <row r="252" spans="1:7" ht="15">
      <c r="A252" s="53">
        <v>41</v>
      </c>
      <c r="B252" s="54" t="s">
        <v>241</v>
      </c>
      <c r="C252" s="55">
        <f>SUM(C253+C255)</f>
        <v>0</v>
      </c>
      <c r="D252" s="55">
        <f aca="true" t="shared" si="45" ref="D252:E252">SUM(D253+D255)</f>
        <v>11650</v>
      </c>
      <c r="E252" s="55">
        <f t="shared" si="45"/>
        <v>0</v>
      </c>
      <c r="F252" s="52" t="e">
        <f t="shared" si="39"/>
        <v>#DIV/0!</v>
      </c>
      <c r="G252" s="52">
        <f t="shared" si="40"/>
        <v>0</v>
      </c>
    </row>
    <row r="253" spans="1:7" ht="15">
      <c r="A253" s="173">
        <v>411</v>
      </c>
      <c r="B253" s="64" t="s">
        <v>242</v>
      </c>
      <c r="C253" s="94">
        <f>SUM(C254)</f>
        <v>0</v>
      </c>
      <c r="D253" s="94">
        <f aca="true" t="shared" si="46" ref="D253:E253">SUM(D254)</f>
        <v>5000</v>
      </c>
      <c r="E253" s="94">
        <f t="shared" si="46"/>
        <v>0</v>
      </c>
      <c r="F253" s="52" t="e">
        <f t="shared" si="39"/>
        <v>#DIV/0!</v>
      </c>
      <c r="G253" s="52">
        <f t="shared" si="40"/>
        <v>0</v>
      </c>
    </row>
    <row r="254" spans="1:7" ht="15">
      <c r="A254" s="174">
        <v>411</v>
      </c>
      <c r="B254" s="67" t="s">
        <v>88</v>
      </c>
      <c r="C254" s="175">
        <v>0</v>
      </c>
      <c r="D254" s="175">
        <v>5000</v>
      </c>
      <c r="E254" s="83">
        <v>0</v>
      </c>
      <c r="F254" s="52" t="e">
        <f t="shared" si="39"/>
        <v>#DIV/0!</v>
      </c>
      <c r="G254" s="52">
        <f t="shared" si="40"/>
        <v>0</v>
      </c>
    </row>
    <row r="255" spans="1:7" ht="15">
      <c r="A255" s="76">
        <v>412</v>
      </c>
      <c r="B255" s="176" t="s">
        <v>243</v>
      </c>
      <c r="C255" s="78">
        <f>SUM(C256)</f>
        <v>0</v>
      </c>
      <c r="D255" s="78">
        <f aca="true" t="shared" si="47" ref="D255:E255">SUM(D256)</f>
        <v>6650</v>
      </c>
      <c r="E255" s="78">
        <f t="shared" si="47"/>
        <v>0</v>
      </c>
      <c r="F255" s="52" t="e">
        <f t="shared" si="39"/>
        <v>#DIV/0!</v>
      </c>
      <c r="G255" s="52">
        <f t="shared" si="40"/>
        <v>0</v>
      </c>
    </row>
    <row r="256" spans="1:7" ht="15">
      <c r="A256" s="155">
        <v>412</v>
      </c>
      <c r="B256" s="156" t="s">
        <v>244</v>
      </c>
      <c r="C256" s="102">
        <v>0</v>
      </c>
      <c r="D256" s="102">
        <v>6650</v>
      </c>
      <c r="E256" s="102">
        <v>0</v>
      </c>
      <c r="F256" s="52" t="e">
        <f t="shared" si="39"/>
        <v>#DIV/0!</v>
      </c>
      <c r="G256" s="52">
        <f t="shared" si="40"/>
        <v>0</v>
      </c>
    </row>
    <row r="257" spans="1:7" ht="15">
      <c r="A257" s="53">
        <v>42</v>
      </c>
      <c r="B257" s="54" t="s">
        <v>245</v>
      </c>
      <c r="C257" s="55">
        <f>SUM(C258+C291+C296+C298+C300)</f>
        <v>204150.24221912533</v>
      </c>
      <c r="D257" s="55">
        <f>SUM(D258+D291+D296+D298+D300)</f>
        <v>828130</v>
      </c>
      <c r="E257" s="55">
        <f>SUM(E258+E291+E296+E298+E300)</f>
        <v>205716.75000000003</v>
      </c>
      <c r="F257" s="52">
        <f t="shared" si="39"/>
        <v>100.76733084607037</v>
      </c>
      <c r="G257" s="52">
        <f t="shared" si="40"/>
        <v>24.841117940419984</v>
      </c>
    </row>
    <row r="258" spans="1:7" ht="15">
      <c r="A258" s="63">
        <v>421</v>
      </c>
      <c r="B258" s="64" t="s">
        <v>246</v>
      </c>
      <c r="C258" s="65">
        <f>SUM(C259:C271)</f>
        <v>194600.30526245933</v>
      </c>
      <c r="D258" s="65">
        <f>SUM(D259:D271)</f>
        <v>791100</v>
      </c>
      <c r="E258" s="65">
        <f>SUM(E259:E271)</f>
        <v>205197.52000000002</v>
      </c>
      <c r="F258" s="52">
        <f t="shared" si="39"/>
        <v>105.44563109664608</v>
      </c>
      <c r="G258" s="52">
        <f t="shared" si="40"/>
        <v>25.938253065352047</v>
      </c>
    </row>
    <row r="259" spans="1:7" ht="15">
      <c r="A259" s="139">
        <v>421</v>
      </c>
      <c r="B259" s="67" t="s">
        <v>247</v>
      </c>
      <c r="C259" s="175">
        <v>0</v>
      </c>
      <c r="D259" s="83">
        <v>0</v>
      </c>
      <c r="E259" s="83">
        <v>0</v>
      </c>
      <c r="F259" s="52" t="e">
        <f t="shared" si="39"/>
        <v>#DIV/0!</v>
      </c>
      <c r="G259" s="52" t="e">
        <f>E259/D259*100</f>
        <v>#DIV/0!</v>
      </c>
    </row>
    <row r="260" spans="1:7" ht="15">
      <c r="A260" s="139">
        <v>421</v>
      </c>
      <c r="B260" s="67" t="s">
        <v>248</v>
      </c>
      <c r="C260" s="175">
        <v>0</v>
      </c>
      <c r="D260" s="83">
        <v>0</v>
      </c>
      <c r="E260" s="83">
        <v>0</v>
      </c>
      <c r="F260" s="52" t="e">
        <f t="shared" si="39"/>
        <v>#DIV/0!</v>
      </c>
      <c r="G260" s="52" t="e">
        <f>E260/D260*100</f>
        <v>#DIV/0!</v>
      </c>
    </row>
    <row r="261" spans="1:7" ht="15">
      <c r="A261" s="139">
        <v>421</v>
      </c>
      <c r="B261" s="67" t="s">
        <v>249</v>
      </c>
      <c r="C261" s="175">
        <v>0</v>
      </c>
      <c r="D261" s="83">
        <v>0</v>
      </c>
      <c r="E261" s="83">
        <v>0</v>
      </c>
      <c r="F261" s="52" t="e">
        <f t="shared" si="39"/>
        <v>#DIV/0!</v>
      </c>
      <c r="G261" s="52" t="e">
        <f aca="true" t="shared" si="48" ref="G261:G270">E261/D261*100</f>
        <v>#DIV/0!</v>
      </c>
    </row>
    <row r="262" spans="1:7" ht="15">
      <c r="A262" s="139">
        <v>421</v>
      </c>
      <c r="B262" s="67" t="s">
        <v>250</v>
      </c>
      <c r="C262" s="175">
        <v>0</v>
      </c>
      <c r="D262" s="83">
        <v>0</v>
      </c>
      <c r="E262" s="83">
        <v>0</v>
      </c>
      <c r="F262" s="52" t="e">
        <f t="shared" si="39"/>
        <v>#DIV/0!</v>
      </c>
      <c r="G262" s="52" t="e">
        <f t="shared" si="48"/>
        <v>#DIV/0!</v>
      </c>
    </row>
    <row r="263" spans="1:7" ht="15">
      <c r="A263" s="139">
        <v>421</v>
      </c>
      <c r="B263" s="67" t="s">
        <v>251</v>
      </c>
      <c r="C263" s="175">
        <v>0</v>
      </c>
      <c r="D263" s="83">
        <v>0</v>
      </c>
      <c r="E263" s="83">
        <v>0</v>
      </c>
      <c r="F263" s="52" t="e">
        <f t="shared" si="39"/>
        <v>#DIV/0!</v>
      </c>
      <c r="G263" s="52" t="e">
        <f t="shared" si="48"/>
        <v>#DIV/0!</v>
      </c>
    </row>
    <row r="264" spans="1:7" ht="15">
      <c r="A264" s="139">
        <v>421</v>
      </c>
      <c r="B264" s="67" t="s">
        <v>252</v>
      </c>
      <c r="C264" s="175">
        <v>0</v>
      </c>
      <c r="D264" s="83">
        <v>0</v>
      </c>
      <c r="E264" s="83">
        <v>0</v>
      </c>
      <c r="F264" s="52" t="e">
        <f t="shared" si="39"/>
        <v>#DIV/0!</v>
      </c>
      <c r="G264" s="52" t="e">
        <f t="shared" si="48"/>
        <v>#DIV/0!</v>
      </c>
    </row>
    <row r="265" spans="1:7" ht="15">
      <c r="A265" s="139">
        <v>421</v>
      </c>
      <c r="B265" s="67" t="s">
        <v>253</v>
      </c>
      <c r="C265" s="175">
        <v>0</v>
      </c>
      <c r="D265" s="83">
        <v>0</v>
      </c>
      <c r="E265" s="83">
        <v>0</v>
      </c>
      <c r="F265" s="52" t="e">
        <f t="shared" si="39"/>
        <v>#DIV/0!</v>
      </c>
      <c r="G265" s="52" t="e">
        <f t="shared" si="48"/>
        <v>#DIV/0!</v>
      </c>
    </row>
    <row r="266" spans="1:7" ht="15">
      <c r="A266" s="139">
        <v>421</v>
      </c>
      <c r="B266" s="67" t="s">
        <v>254</v>
      </c>
      <c r="C266" s="175">
        <v>0</v>
      </c>
      <c r="D266" s="83">
        <v>0</v>
      </c>
      <c r="E266" s="83">
        <v>0</v>
      </c>
      <c r="F266" s="52" t="e">
        <f t="shared" si="39"/>
        <v>#DIV/0!</v>
      </c>
      <c r="G266" s="52" t="e">
        <f t="shared" si="48"/>
        <v>#DIV/0!</v>
      </c>
    </row>
    <row r="267" spans="1:7" ht="15">
      <c r="A267" s="139">
        <v>421</v>
      </c>
      <c r="B267" s="67" t="s">
        <v>255</v>
      </c>
      <c r="C267" s="175">
        <v>0</v>
      </c>
      <c r="D267" s="83">
        <v>0</v>
      </c>
      <c r="E267" s="83">
        <v>0</v>
      </c>
      <c r="F267" s="52" t="e">
        <f t="shared" si="39"/>
        <v>#DIV/0!</v>
      </c>
      <c r="G267" s="52" t="e">
        <f t="shared" si="48"/>
        <v>#DIV/0!</v>
      </c>
    </row>
    <row r="268" spans="1:7" ht="15">
      <c r="A268" s="139">
        <v>421</v>
      </c>
      <c r="B268" s="67" t="s">
        <v>256</v>
      </c>
      <c r="C268" s="175"/>
      <c r="D268" s="83"/>
      <c r="E268" s="83">
        <v>22953.08</v>
      </c>
      <c r="F268" s="52"/>
      <c r="G268" s="52"/>
    </row>
    <row r="269" spans="1:7" ht="15">
      <c r="A269" s="139">
        <v>421</v>
      </c>
      <c r="B269" s="67" t="s">
        <v>257</v>
      </c>
      <c r="C269" s="175">
        <v>0</v>
      </c>
      <c r="D269" s="83">
        <v>0</v>
      </c>
      <c r="E269" s="83">
        <v>0</v>
      </c>
      <c r="F269" s="52" t="e">
        <f t="shared" si="39"/>
        <v>#DIV/0!</v>
      </c>
      <c r="G269" s="52" t="e">
        <f t="shared" si="48"/>
        <v>#DIV/0!</v>
      </c>
    </row>
    <row r="270" spans="1:7" ht="15">
      <c r="A270" s="139">
        <v>421</v>
      </c>
      <c r="B270" s="67" t="s">
        <v>258</v>
      </c>
      <c r="C270" s="175">
        <v>0</v>
      </c>
      <c r="D270" s="83">
        <v>33200</v>
      </c>
      <c r="E270" s="83">
        <v>0</v>
      </c>
      <c r="F270" s="52" t="e">
        <f t="shared" si="39"/>
        <v>#DIV/0!</v>
      </c>
      <c r="G270" s="52">
        <f t="shared" si="48"/>
        <v>0</v>
      </c>
    </row>
    <row r="271" spans="1:7" ht="15">
      <c r="A271" s="177">
        <v>421</v>
      </c>
      <c r="B271" s="178" t="s">
        <v>259</v>
      </c>
      <c r="C271" s="94">
        <f>SUM(C272:C290)</f>
        <v>194600.30526245933</v>
      </c>
      <c r="D271" s="94">
        <f>SUM(D272:D290)</f>
        <v>757900</v>
      </c>
      <c r="E271" s="94">
        <f>SUM(E272:E290)</f>
        <v>182244.44</v>
      </c>
      <c r="F271" s="52">
        <f t="shared" si="39"/>
        <v>93.65064446029781</v>
      </c>
      <c r="G271" s="52">
        <f t="shared" si="40"/>
        <v>24.045974402955537</v>
      </c>
    </row>
    <row r="272" spans="1:7" ht="15">
      <c r="A272" s="70">
        <v>421</v>
      </c>
      <c r="B272" s="67" t="s">
        <v>260</v>
      </c>
      <c r="C272" s="82">
        <v>0</v>
      </c>
      <c r="D272" s="83">
        <v>60000</v>
      </c>
      <c r="E272" s="83">
        <v>0</v>
      </c>
      <c r="F272" s="52" t="e">
        <f t="shared" si="39"/>
        <v>#DIV/0!</v>
      </c>
      <c r="G272" s="52">
        <f t="shared" si="40"/>
        <v>0</v>
      </c>
    </row>
    <row r="273" spans="1:7" ht="15">
      <c r="A273" s="70">
        <v>421</v>
      </c>
      <c r="B273" s="67" t="s">
        <v>261</v>
      </c>
      <c r="C273" s="82">
        <v>0</v>
      </c>
      <c r="D273" s="83">
        <v>0</v>
      </c>
      <c r="E273" s="83">
        <v>1727.71</v>
      </c>
      <c r="F273" s="52" t="e">
        <f t="shared" si="39"/>
        <v>#DIV/0!</v>
      </c>
      <c r="G273" s="52" t="e">
        <f t="shared" si="40"/>
        <v>#DIV/0!</v>
      </c>
    </row>
    <row r="274" spans="1:7" ht="15">
      <c r="A274" s="70">
        <v>421</v>
      </c>
      <c r="B274" s="67" t="s">
        <v>262</v>
      </c>
      <c r="C274" s="82">
        <v>0</v>
      </c>
      <c r="D274" s="83">
        <v>0</v>
      </c>
      <c r="E274" s="83">
        <v>0</v>
      </c>
      <c r="F274" s="52" t="e">
        <f t="shared" si="39"/>
        <v>#DIV/0!</v>
      </c>
      <c r="G274" s="52" t="e">
        <f t="shared" si="40"/>
        <v>#DIV/0!</v>
      </c>
    </row>
    <row r="275" spans="1:7" ht="15">
      <c r="A275" s="70">
        <v>421</v>
      </c>
      <c r="B275" s="67" t="s">
        <v>263</v>
      </c>
      <c r="C275" s="82">
        <f>SUM(157824/7.5345)</f>
        <v>20946.844515229943</v>
      </c>
      <c r="D275" s="83">
        <v>0</v>
      </c>
      <c r="E275" s="83">
        <v>0</v>
      </c>
      <c r="F275" s="52">
        <f t="shared" si="39"/>
        <v>0</v>
      </c>
      <c r="G275" s="52" t="e">
        <f t="shared" si="40"/>
        <v>#DIV/0!</v>
      </c>
    </row>
    <row r="276" spans="1:7" ht="15">
      <c r="A276" s="70">
        <v>421</v>
      </c>
      <c r="B276" s="67" t="s">
        <v>264</v>
      </c>
      <c r="C276" s="82">
        <f>SUM(29187/7.5345)</f>
        <v>3873.7806091976904</v>
      </c>
      <c r="D276" s="83">
        <v>0</v>
      </c>
      <c r="E276" s="83">
        <v>0</v>
      </c>
      <c r="F276" s="52">
        <f t="shared" si="39"/>
        <v>0</v>
      </c>
      <c r="G276" s="52" t="e">
        <f t="shared" si="40"/>
        <v>#DIV/0!</v>
      </c>
    </row>
    <row r="277" spans="1:7" ht="15">
      <c r="A277" s="70">
        <v>421</v>
      </c>
      <c r="B277" s="67" t="s">
        <v>265</v>
      </c>
      <c r="C277" s="82">
        <f>SUM(12102/7.5345)</f>
        <v>1606.2114274338044</v>
      </c>
      <c r="D277" s="83">
        <v>0</v>
      </c>
      <c r="E277" s="83">
        <v>500</v>
      </c>
      <c r="F277" s="52">
        <f aca="true" t="shared" si="49" ref="F277:F315">E277/C277*100</f>
        <v>31.1291522062469</v>
      </c>
      <c r="G277" s="52" t="e">
        <f aca="true" t="shared" si="50" ref="G277:G315">E277/D277*100</f>
        <v>#DIV/0!</v>
      </c>
    </row>
    <row r="278" spans="1:7" ht="15">
      <c r="A278" s="70">
        <v>421</v>
      </c>
      <c r="B278" s="67" t="s">
        <v>266</v>
      </c>
      <c r="C278" s="82">
        <v>0</v>
      </c>
      <c r="D278" s="83">
        <v>0</v>
      </c>
      <c r="E278" s="83">
        <v>4940.13</v>
      </c>
      <c r="F278" s="52" t="e">
        <f t="shared" si="49"/>
        <v>#DIV/0!</v>
      </c>
      <c r="G278" s="52" t="e">
        <f t="shared" si="50"/>
        <v>#DIV/0!</v>
      </c>
    </row>
    <row r="279" spans="1:7" ht="15">
      <c r="A279" s="70">
        <v>421</v>
      </c>
      <c r="B279" s="67" t="s">
        <v>267</v>
      </c>
      <c r="C279" s="82">
        <f>SUM(1049928/7.5345)</f>
        <v>139349.3927931515</v>
      </c>
      <c r="D279" s="83">
        <v>175100</v>
      </c>
      <c r="E279" s="83">
        <v>101485.23</v>
      </c>
      <c r="F279" s="52">
        <f t="shared" si="49"/>
        <v>72.82789538282626</v>
      </c>
      <c r="G279" s="52">
        <f t="shared" si="50"/>
        <v>57.95844089091947</v>
      </c>
    </row>
    <row r="280" spans="1:7" ht="15">
      <c r="A280" s="70">
        <v>421</v>
      </c>
      <c r="B280" s="67" t="s">
        <v>268</v>
      </c>
      <c r="C280" s="82">
        <v>0</v>
      </c>
      <c r="D280" s="83">
        <v>0</v>
      </c>
      <c r="E280" s="83">
        <v>352.39</v>
      </c>
      <c r="F280" s="52" t="e">
        <f t="shared" si="49"/>
        <v>#DIV/0!</v>
      </c>
      <c r="G280" s="52" t="e">
        <f t="shared" si="50"/>
        <v>#DIV/0!</v>
      </c>
    </row>
    <row r="281" spans="1:7" ht="15">
      <c r="A281" s="70">
        <v>421</v>
      </c>
      <c r="B281" s="67" t="s">
        <v>269</v>
      </c>
      <c r="C281" s="82">
        <f>SUM(7762/7.5345)</f>
        <v>1030.1944389143273</v>
      </c>
      <c r="D281" s="83">
        <v>0</v>
      </c>
      <c r="E281" s="83">
        <v>0</v>
      </c>
      <c r="F281" s="52">
        <f t="shared" si="49"/>
        <v>0</v>
      </c>
      <c r="G281" s="52" t="e">
        <f t="shared" si="50"/>
        <v>#DIV/0!</v>
      </c>
    </row>
    <row r="282" spans="1:7" ht="15">
      <c r="A282" s="70">
        <v>421</v>
      </c>
      <c r="B282" s="67" t="s">
        <v>270</v>
      </c>
      <c r="C282" s="82">
        <f>SUM(17900/7.5345)</f>
        <v>2375.7382706218064</v>
      </c>
      <c r="D282" s="83">
        <v>42500</v>
      </c>
      <c r="E282" s="83">
        <v>10263.45</v>
      </c>
      <c r="F282" s="52">
        <f t="shared" si="49"/>
        <v>432.01097220670397</v>
      </c>
      <c r="G282" s="52">
        <f t="shared" si="50"/>
        <v>24.14929411764706</v>
      </c>
    </row>
    <row r="283" spans="1:7" ht="15">
      <c r="A283" s="84">
        <v>421</v>
      </c>
      <c r="B283" s="67" t="s">
        <v>271</v>
      </c>
      <c r="C283" s="82"/>
      <c r="D283" s="83">
        <v>5300</v>
      </c>
      <c r="E283" s="83"/>
      <c r="F283" s="52"/>
      <c r="G283" s="52"/>
    </row>
    <row r="284" spans="1:7" ht="15">
      <c r="A284" s="84">
        <v>421</v>
      </c>
      <c r="B284" s="67" t="s">
        <v>272</v>
      </c>
      <c r="C284" s="82"/>
      <c r="D284" s="83">
        <v>66500</v>
      </c>
      <c r="E284" s="83"/>
      <c r="F284" s="52"/>
      <c r="G284" s="52"/>
    </row>
    <row r="285" spans="1:7" ht="15">
      <c r="A285" s="70">
        <v>421</v>
      </c>
      <c r="B285" s="67" t="s">
        <v>273</v>
      </c>
      <c r="C285" s="82">
        <f>SUM(58375/7.5345)</f>
        <v>7747.6939412037955</v>
      </c>
      <c r="D285" s="83">
        <v>362000</v>
      </c>
      <c r="E285" s="83">
        <v>60586.53</v>
      </c>
      <c r="F285" s="52">
        <f t="shared" si="49"/>
        <v>781.9943645139186</v>
      </c>
      <c r="G285" s="52">
        <f t="shared" si="50"/>
        <v>16.73661049723757</v>
      </c>
    </row>
    <row r="286" spans="1:7" ht="15">
      <c r="A286" s="70">
        <v>421</v>
      </c>
      <c r="B286" s="67" t="s">
        <v>274</v>
      </c>
      <c r="C286" s="82">
        <f>SUM(11250/7.5345)</f>
        <v>1493.131594664543</v>
      </c>
      <c r="D286" s="83">
        <v>46500</v>
      </c>
      <c r="E286" s="83">
        <v>2389</v>
      </c>
      <c r="F286" s="52">
        <f t="shared" si="49"/>
        <v>159.99929333333336</v>
      </c>
      <c r="G286" s="52">
        <f t="shared" si="50"/>
        <v>5.137634408602151</v>
      </c>
    </row>
    <row r="287" spans="1:7" ht="15">
      <c r="A287" s="70">
        <v>421</v>
      </c>
      <c r="B287" s="67" t="s">
        <v>275</v>
      </c>
      <c r="C287" s="82">
        <f>SUM(7900/7.5345)</f>
        <v>1048.5101864755457</v>
      </c>
      <c r="D287" s="83">
        <v>0</v>
      </c>
      <c r="E287" s="83">
        <v>0</v>
      </c>
      <c r="F287" s="52">
        <f t="shared" si="49"/>
        <v>0</v>
      </c>
      <c r="G287" s="52" t="e">
        <f t="shared" si="50"/>
        <v>#DIV/0!</v>
      </c>
    </row>
    <row r="288" spans="1:7" ht="15">
      <c r="A288" s="70">
        <v>421</v>
      </c>
      <c r="B288" s="67" t="s">
        <v>276</v>
      </c>
      <c r="C288" s="82">
        <v>0</v>
      </c>
      <c r="D288" s="83">
        <v>0</v>
      </c>
      <c r="E288" s="83">
        <v>0</v>
      </c>
      <c r="F288" s="52" t="e">
        <f t="shared" si="49"/>
        <v>#DIV/0!</v>
      </c>
      <c r="G288" s="52" t="e">
        <f t="shared" si="50"/>
        <v>#DIV/0!</v>
      </c>
    </row>
    <row r="289" spans="1:7" ht="15">
      <c r="A289" s="70">
        <v>421</v>
      </c>
      <c r="B289" s="67" t="s">
        <v>277</v>
      </c>
      <c r="C289" s="82">
        <f>SUM(113988/7.5345)</f>
        <v>15128.807485566394</v>
      </c>
      <c r="D289" s="83">
        <v>0</v>
      </c>
      <c r="E289" s="83">
        <v>0</v>
      </c>
      <c r="F289" s="52">
        <f t="shared" si="49"/>
        <v>0</v>
      </c>
      <c r="G289" s="52" t="e">
        <f t="shared" si="50"/>
        <v>#DIV/0!</v>
      </c>
    </row>
    <row r="290" spans="1:7" ht="15">
      <c r="A290" s="70">
        <v>421</v>
      </c>
      <c r="B290" s="67" t="s">
        <v>278</v>
      </c>
      <c r="C290" s="82">
        <v>0</v>
      </c>
      <c r="D290" s="83">
        <v>0</v>
      </c>
      <c r="E290" s="83">
        <v>0</v>
      </c>
      <c r="F290" s="52" t="e">
        <f t="shared" si="49"/>
        <v>#DIV/0!</v>
      </c>
      <c r="G290" s="52" t="e">
        <f t="shared" si="50"/>
        <v>#DIV/0!</v>
      </c>
    </row>
    <row r="291" spans="1:7" ht="15">
      <c r="A291" s="164">
        <v>422</v>
      </c>
      <c r="B291" s="64" t="s">
        <v>279</v>
      </c>
      <c r="C291" s="65">
        <f>SUM(C292:C295)</f>
        <v>339.9031123498573</v>
      </c>
      <c r="D291" s="65">
        <f>SUM(D292:D295)</f>
        <v>5700</v>
      </c>
      <c r="E291" s="65">
        <f>SUM(E292:E295)</f>
        <v>0</v>
      </c>
      <c r="F291" s="52">
        <f t="shared" si="49"/>
        <v>0</v>
      </c>
      <c r="G291" s="52">
        <f t="shared" si="50"/>
        <v>0</v>
      </c>
    </row>
    <row r="292" spans="1:7" ht="15">
      <c r="A292" s="165" t="s">
        <v>280</v>
      </c>
      <c r="B292" s="162" t="s">
        <v>281</v>
      </c>
      <c r="C292" s="179">
        <v>0</v>
      </c>
      <c r="D292" s="102">
        <v>5700</v>
      </c>
      <c r="E292" s="180">
        <v>0</v>
      </c>
      <c r="F292" s="52" t="e">
        <f t="shared" si="49"/>
        <v>#DIV/0!</v>
      </c>
      <c r="G292" s="52">
        <f t="shared" si="50"/>
        <v>0</v>
      </c>
    </row>
    <row r="293" spans="1:7" ht="15">
      <c r="A293" s="165" t="s">
        <v>280</v>
      </c>
      <c r="B293" s="162" t="s">
        <v>282</v>
      </c>
      <c r="C293" s="179">
        <v>0</v>
      </c>
      <c r="D293" s="102">
        <v>0</v>
      </c>
      <c r="E293" s="180">
        <v>0</v>
      </c>
      <c r="F293" s="52" t="e">
        <f t="shared" si="49"/>
        <v>#DIV/0!</v>
      </c>
      <c r="G293" s="52" t="e">
        <f t="shared" si="50"/>
        <v>#DIV/0!</v>
      </c>
    </row>
    <row r="294" spans="1:7" ht="15">
      <c r="A294" s="165">
        <v>422</v>
      </c>
      <c r="B294" s="162" t="s">
        <v>283</v>
      </c>
      <c r="C294" s="179">
        <f>SUM(2561/7.5345)</f>
        <v>339.9031123498573</v>
      </c>
      <c r="D294" s="102">
        <v>0</v>
      </c>
      <c r="E294" s="180">
        <v>0</v>
      </c>
      <c r="F294" s="52">
        <f t="shared" si="49"/>
        <v>0</v>
      </c>
      <c r="G294" s="52" t="e">
        <f t="shared" si="50"/>
        <v>#DIV/0!</v>
      </c>
    </row>
    <row r="295" spans="1:7" ht="15">
      <c r="A295" s="165">
        <v>422</v>
      </c>
      <c r="B295" s="162" t="s">
        <v>284</v>
      </c>
      <c r="C295" s="179">
        <v>0</v>
      </c>
      <c r="D295" s="102">
        <v>0</v>
      </c>
      <c r="E295" s="180">
        <v>0</v>
      </c>
      <c r="F295" s="52" t="e">
        <f t="shared" si="49"/>
        <v>#DIV/0!</v>
      </c>
      <c r="G295" s="52" t="e">
        <f t="shared" si="50"/>
        <v>#DIV/0!</v>
      </c>
    </row>
    <row r="296" spans="1:7" ht="15">
      <c r="A296" s="181">
        <v>423</v>
      </c>
      <c r="B296" s="182" t="s">
        <v>285</v>
      </c>
      <c r="C296" s="109">
        <f aca="true" t="shared" si="51" ref="C296:E296">SUM(C297)</f>
        <v>0</v>
      </c>
      <c r="D296" s="109">
        <f t="shared" si="51"/>
        <v>0</v>
      </c>
      <c r="E296" s="109">
        <f t="shared" si="51"/>
        <v>0</v>
      </c>
      <c r="F296" s="183" t="e">
        <f t="shared" si="49"/>
        <v>#DIV/0!</v>
      </c>
      <c r="G296" s="183" t="e">
        <f t="shared" si="50"/>
        <v>#DIV/0!</v>
      </c>
    </row>
    <row r="297" spans="1:7" ht="15">
      <c r="A297" s="139">
        <v>423</v>
      </c>
      <c r="B297" s="67" t="s">
        <v>286</v>
      </c>
      <c r="C297" s="83">
        <v>0</v>
      </c>
      <c r="D297" s="83">
        <v>0</v>
      </c>
      <c r="E297" s="83">
        <v>0</v>
      </c>
      <c r="F297" s="52" t="e">
        <f t="shared" si="49"/>
        <v>#DIV/0!</v>
      </c>
      <c r="G297" s="52" t="e">
        <f t="shared" si="50"/>
        <v>#DIV/0!</v>
      </c>
    </row>
    <row r="298" spans="1:7" ht="15">
      <c r="A298" s="164">
        <v>424</v>
      </c>
      <c r="B298" s="64" t="s">
        <v>287</v>
      </c>
      <c r="C298" s="65">
        <f>SUM(C299)</f>
        <v>2590.483774636671</v>
      </c>
      <c r="D298" s="65">
        <f aca="true" t="shared" si="52" ref="D298:E298">SUM(D299)</f>
        <v>4600</v>
      </c>
      <c r="E298" s="65">
        <f t="shared" si="52"/>
        <v>519.23</v>
      </c>
      <c r="F298" s="52">
        <f t="shared" si="49"/>
        <v>20.043746464801725</v>
      </c>
      <c r="G298" s="52">
        <f t="shared" si="50"/>
        <v>11.287608695652175</v>
      </c>
    </row>
    <row r="299" spans="1:7" ht="15">
      <c r="A299" s="139">
        <v>424</v>
      </c>
      <c r="B299" s="67" t="s">
        <v>288</v>
      </c>
      <c r="C299" s="83">
        <f>SUM(19518/7.5345)</f>
        <v>2590.483774636671</v>
      </c>
      <c r="D299" s="83">
        <v>4600</v>
      </c>
      <c r="E299" s="83">
        <v>519.23</v>
      </c>
      <c r="F299" s="52">
        <f t="shared" si="49"/>
        <v>20.043746464801725</v>
      </c>
      <c r="G299" s="52">
        <f t="shared" si="50"/>
        <v>11.287608695652175</v>
      </c>
    </row>
    <row r="300" spans="1:7" ht="15">
      <c r="A300" s="168">
        <v>426</v>
      </c>
      <c r="B300" s="176" t="s">
        <v>289</v>
      </c>
      <c r="C300" s="78">
        <f>SUM(C301:C305)</f>
        <v>6619.550069679474</v>
      </c>
      <c r="D300" s="78">
        <f>SUM(D301:D305)</f>
        <v>26730</v>
      </c>
      <c r="E300" s="78">
        <f>SUM(E301:E305)</f>
        <v>0</v>
      </c>
      <c r="F300" s="52">
        <f t="shared" si="49"/>
        <v>0</v>
      </c>
      <c r="G300" s="52">
        <f t="shared" si="50"/>
        <v>0</v>
      </c>
    </row>
    <row r="301" spans="1:7" ht="15">
      <c r="A301" s="165">
        <v>426</v>
      </c>
      <c r="B301" s="156" t="s">
        <v>290</v>
      </c>
      <c r="C301" s="102">
        <v>0</v>
      </c>
      <c r="D301" s="102">
        <v>930</v>
      </c>
      <c r="E301" s="102">
        <v>0</v>
      </c>
      <c r="F301" s="52" t="e">
        <f t="shared" si="49"/>
        <v>#DIV/0!</v>
      </c>
      <c r="G301" s="52">
        <f t="shared" si="50"/>
        <v>0</v>
      </c>
    </row>
    <row r="302" spans="1:7" ht="15">
      <c r="A302" s="165">
        <v>426</v>
      </c>
      <c r="B302" s="156" t="s">
        <v>291</v>
      </c>
      <c r="C302" s="102"/>
      <c r="D302" s="102">
        <v>25800</v>
      </c>
      <c r="E302" s="102"/>
      <c r="F302" s="52"/>
      <c r="G302" s="52"/>
    </row>
    <row r="303" spans="1:7" ht="15">
      <c r="A303" s="165">
        <v>426</v>
      </c>
      <c r="B303" s="156" t="s">
        <v>292</v>
      </c>
      <c r="C303" s="102">
        <v>0</v>
      </c>
      <c r="D303" s="102">
        <v>0</v>
      </c>
      <c r="E303" s="102">
        <v>0</v>
      </c>
      <c r="F303" s="52" t="e">
        <f t="shared" si="49"/>
        <v>#DIV/0!</v>
      </c>
      <c r="G303" s="52" t="e">
        <f t="shared" si="50"/>
        <v>#DIV/0!</v>
      </c>
    </row>
    <row r="304" spans="1:7" ht="24.75" customHeight="1">
      <c r="A304" s="165">
        <v>426</v>
      </c>
      <c r="B304" s="166" t="s">
        <v>293</v>
      </c>
      <c r="C304" s="102">
        <f>SUM(49875/7.5345)</f>
        <v>6619.550069679474</v>
      </c>
      <c r="D304" s="102">
        <v>0</v>
      </c>
      <c r="E304" s="102">
        <v>0</v>
      </c>
      <c r="F304" s="52">
        <f t="shared" si="49"/>
        <v>0</v>
      </c>
      <c r="G304" s="52" t="e">
        <f t="shared" si="50"/>
        <v>#DIV/0!</v>
      </c>
    </row>
    <row r="305" spans="1:7" ht="15">
      <c r="A305" s="165">
        <v>451</v>
      </c>
      <c r="B305" s="156" t="s">
        <v>294</v>
      </c>
      <c r="C305" s="102">
        <v>0</v>
      </c>
      <c r="D305" s="102">
        <v>0</v>
      </c>
      <c r="E305" s="102">
        <v>0</v>
      </c>
      <c r="F305" s="52" t="e">
        <f t="shared" si="49"/>
        <v>#DIV/0!</v>
      </c>
      <c r="G305" s="52" t="e">
        <f t="shared" si="50"/>
        <v>#DIV/0!</v>
      </c>
    </row>
    <row r="306" spans="1:7" ht="15">
      <c r="A306" s="53"/>
      <c r="B306" s="54" t="s">
        <v>295</v>
      </c>
      <c r="C306" s="55">
        <f>SUM(C307)</f>
        <v>0</v>
      </c>
      <c r="D306" s="55">
        <f aca="true" t="shared" si="53" ref="D306:E307">SUM(D307)</f>
        <v>0</v>
      </c>
      <c r="E306" s="55">
        <f t="shared" si="53"/>
        <v>0</v>
      </c>
      <c r="F306" s="52" t="e">
        <f t="shared" si="49"/>
        <v>#DIV/0!</v>
      </c>
      <c r="G306" s="52" t="e">
        <f t="shared" si="50"/>
        <v>#DIV/0!</v>
      </c>
    </row>
    <row r="307" spans="1:7" ht="15">
      <c r="A307" s="184"/>
      <c r="B307" s="64" t="s">
        <v>296</v>
      </c>
      <c r="C307" s="185">
        <f>SUM(C308)</f>
        <v>0</v>
      </c>
      <c r="D307" s="185">
        <f t="shared" si="53"/>
        <v>0</v>
      </c>
      <c r="E307" s="185">
        <f t="shared" si="53"/>
        <v>0</v>
      </c>
      <c r="F307" s="52" t="e">
        <f t="shared" si="49"/>
        <v>#DIV/0!</v>
      </c>
      <c r="G307" s="52" t="e">
        <f t="shared" si="50"/>
        <v>#DIV/0!</v>
      </c>
    </row>
    <row r="308" spans="1:7" ht="15">
      <c r="A308" s="174"/>
      <c r="B308" s="67" t="s">
        <v>297</v>
      </c>
      <c r="C308" s="175">
        <v>0</v>
      </c>
      <c r="D308" s="175">
        <v>0</v>
      </c>
      <c r="E308" s="83">
        <v>0</v>
      </c>
      <c r="F308" s="52" t="e">
        <f t="shared" si="49"/>
        <v>#DIV/0!</v>
      </c>
      <c r="G308" s="52" t="e">
        <f t="shared" si="50"/>
        <v>#DIV/0!</v>
      </c>
    </row>
    <row r="309" spans="1:7" ht="15">
      <c r="A309" s="170">
        <v>5</v>
      </c>
      <c r="B309" s="171" t="s">
        <v>298</v>
      </c>
      <c r="C309" s="172">
        <f>SUM(C310)</f>
        <v>20994.09383502555</v>
      </c>
      <c r="D309" s="172">
        <f aca="true" t="shared" si="54" ref="D309:E311">SUM(D310)</f>
        <v>15000</v>
      </c>
      <c r="E309" s="172">
        <f t="shared" si="54"/>
        <v>12743.04</v>
      </c>
      <c r="F309" s="52">
        <f t="shared" si="49"/>
        <v>60.698213984068786</v>
      </c>
      <c r="G309" s="52">
        <f t="shared" si="50"/>
        <v>84.95360000000001</v>
      </c>
    </row>
    <row r="310" spans="1:7" ht="15">
      <c r="A310" s="53">
        <v>54</v>
      </c>
      <c r="B310" s="54" t="s">
        <v>299</v>
      </c>
      <c r="C310" s="55">
        <f>SUM(C311)</f>
        <v>20994.09383502555</v>
      </c>
      <c r="D310" s="55">
        <f t="shared" si="54"/>
        <v>15000</v>
      </c>
      <c r="E310" s="55">
        <f t="shared" si="54"/>
        <v>12743.04</v>
      </c>
      <c r="F310" s="52">
        <f t="shared" si="49"/>
        <v>60.698213984068786</v>
      </c>
      <c r="G310" s="52">
        <f t="shared" si="50"/>
        <v>84.95360000000001</v>
      </c>
    </row>
    <row r="311" spans="1:7" ht="15">
      <c r="A311" s="173">
        <v>542</v>
      </c>
      <c r="B311" s="64" t="s">
        <v>299</v>
      </c>
      <c r="C311" s="94">
        <f>SUM(C312)</f>
        <v>20994.09383502555</v>
      </c>
      <c r="D311" s="94">
        <f t="shared" si="54"/>
        <v>15000</v>
      </c>
      <c r="E311" s="94">
        <f t="shared" si="54"/>
        <v>12743.04</v>
      </c>
      <c r="F311" s="52">
        <f t="shared" si="49"/>
        <v>60.698213984068786</v>
      </c>
      <c r="G311" s="52">
        <f t="shared" si="50"/>
        <v>84.95360000000001</v>
      </c>
    </row>
    <row r="312" spans="1:7" ht="15">
      <c r="A312" s="174">
        <v>542</v>
      </c>
      <c r="B312" s="67" t="s">
        <v>300</v>
      </c>
      <c r="C312" s="175">
        <f>SUM(158180/7.5345)</f>
        <v>20994.09383502555</v>
      </c>
      <c r="D312" s="175">
        <v>15000</v>
      </c>
      <c r="E312" s="83">
        <v>12743.04</v>
      </c>
      <c r="F312" s="52">
        <f t="shared" si="49"/>
        <v>60.698213984068786</v>
      </c>
      <c r="G312" s="52">
        <f t="shared" si="50"/>
        <v>84.95360000000001</v>
      </c>
    </row>
    <row r="313" spans="1:7" ht="15">
      <c r="A313" s="186">
        <v>9</v>
      </c>
      <c r="B313" s="187" t="s">
        <v>301</v>
      </c>
      <c r="C313" s="188">
        <f>SUM(C314)</f>
        <v>0</v>
      </c>
      <c r="D313" s="188">
        <f>D315</f>
        <v>0</v>
      </c>
      <c r="E313" s="188">
        <f aca="true" t="shared" si="55" ref="D313:E314">SUM(E314)</f>
        <v>0</v>
      </c>
      <c r="F313" s="52" t="e">
        <f t="shared" si="49"/>
        <v>#DIV/0!</v>
      </c>
      <c r="G313" s="52" t="e">
        <f t="shared" si="50"/>
        <v>#DIV/0!</v>
      </c>
    </row>
    <row r="314" spans="1:7" ht="15">
      <c r="A314" s="189">
        <v>92</v>
      </c>
      <c r="B314" s="190" t="s">
        <v>302</v>
      </c>
      <c r="C314" s="191">
        <f>SUM(C315)</f>
        <v>0</v>
      </c>
      <c r="D314" s="191">
        <f t="shared" si="55"/>
        <v>0</v>
      </c>
      <c r="E314" s="191">
        <f t="shared" si="55"/>
        <v>0</v>
      </c>
      <c r="F314" s="52" t="e">
        <f t="shared" si="49"/>
        <v>#DIV/0!</v>
      </c>
      <c r="G314" s="52" t="e">
        <f t="shared" si="50"/>
        <v>#DIV/0!</v>
      </c>
    </row>
    <row r="315" spans="1:7" ht="23.25" customHeight="1">
      <c r="A315" s="192">
        <v>922</v>
      </c>
      <c r="B315" s="193" t="s">
        <v>303</v>
      </c>
      <c r="C315" s="194"/>
      <c r="D315" s="195">
        <v>0</v>
      </c>
      <c r="E315" s="194">
        <v>0</v>
      </c>
      <c r="F315" s="196" t="e">
        <f t="shared" si="49"/>
        <v>#DIV/0!</v>
      </c>
      <c r="G315" s="196" t="e">
        <f t="shared" si="50"/>
        <v>#DIV/0!</v>
      </c>
    </row>
    <row r="316" spans="1:7" ht="15">
      <c r="A316" s="201" t="s">
        <v>304</v>
      </c>
      <c r="B316" s="201"/>
      <c r="C316" s="201"/>
      <c r="D316" s="201"/>
      <c r="E316" s="201"/>
      <c r="F316" s="201"/>
      <c r="G316" s="201"/>
    </row>
    <row r="329" spans="1:7" ht="15">
      <c r="A329" s="213" t="s">
        <v>307</v>
      </c>
      <c r="B329" s="213"/>
      <c r="C329" s="213"/>
      <c r="D329" s="213"/>
      <c r="E329" s="213"/>
      <c r="F329" s="213"/>
      <c r="G329" s="213"/>
    </row>
    <row r="330" spans="1:7" ht="15.75">
      <c r="A330" s="214" t="s">
        <v>308</v>
      </c>
      <c r="B330" s="214"/>
      <c r="C330" s="214"/>
      <c r="D330" s="214"/>
      <c r="E330" s="214" t="s">
        <v>309</v>
      </c>
      <c r="F330" s="214"/>
      <c r="G330" s="215"/>
    </row>
    <row r="331" spans="1:7" ht="15.75">
      <c r="A331" s="214" t="s">
        <v>310</v>
      </c>
      <c r="B331" s="215"/>
      <c r="C331" s="215"/>
      <c r="D331" s="215"/>
      <c r="E331" s="216"/>
      <c r="F331" s="217"/>
      <c r="G331" s="217"/>
    </row>
    <row r="332" spans="1:7" ht="15.75">
      <c r="A332" s="214"/>
      <c r="B332" s="215"/>
      <c r="C332" s="215"/>
      <c r="D332" s="215"/>
      <c r="E332" s="215"/>
      <c r="F332" s="217"/>
      <c r="G332" s="217"/>
    </row>
    <row r="333" spans="1:7" ht="15.75">
      <c r="A333" s="214" t="s">
        <v>311</v>
      </c>
      <c r="B333" s="215"/>
      <c r="C333" s="218">
        <v>0.06</v>
      </c>
      <c r="D333" s="215"/>
      <c r="E333" s="215"/>
      <c r="F333" s="217"/>
      <c r="G333" s="217"/>
    </row>
    <row r="334" spans="1:7" ht="15.75">
      <c r="A334" s="219" t="s">
        <v>312</v>
      </c>
      <c r="B334" s="219"/>
      <c r="C334" s="220">
        <v>4377.56</v>
      </c>
      <c r="D334" s="215"/>
      <c r="E334" s="215"/>
      <c r="F334" s="217"/>
      <c r="G334" s="217"/>
    </row>
    <row r="335" spans="1:7" ht="15.75">
      <c r="A335" s="219" t="s">
        <v>313</v>
      </c>
      <c r="B335" s="219"/>
      <c r="C335" s="220">
        <v>8391.64</v>
      </c>
      <c r="D335" s="215"/>
      <c r="E335" s="215"/>
      <c r="F335" s="217"/>
      <c r="G335" s="217"/>
    </row>
    <row r="336" spans="1:7" ht="15.75">
      <c r="A336" s="214"/>
      <c r="B336" s="221" t="s">
        <v>314</v>
      </c>
      <c r="C336" s="218">
        <f>SUM(C333:C335)</f>
        <v>12769.26</v>
      </c>
      <c r="D336" s="215"/>
      <c r="E336" s="215"/>
      <c r="F336" s="217"/>
      <c r="G336" s="217"/>
    </row>
    <row r="337" spans="1:7" ht="15.75">
      <c r="A337" s="222"/>
      <c r="B337" s="223"/>
      <c r="C337" s="224"/>
      <c r="D337" s="223"/>
      <c r="E337" s="223"/>
      <c r="F337" s="225"/>
      <c r="G337" s="225"/>
    </row>
    <row r="338" spans="1:7" ht="15.75">
      <c r="A338" s="214" t="s">
        <v>315</v>
      </c>
      <c r="B338" s="215"/>
      <c r="C338" s="218"/>
      <c r="D338" s="223"/>
      <c r="E338" s="223"/>
      <c r="F338" s="225"/>
      <c r="G338" s="225"/>
    </row>
    <row r="339" spans="1:7" ht="15.75">
      <c r="A339" s="214" t="s">
        <v>316</v>
      </c>
      <c r="B339" s="215"/>
      <c r="C339" s="218">
        <v>1128.95</v>
      </c>
      <c r="D339" s="223"/>
      <c r="E339" s="223"/>
      <c r="F339" s="225"/>
      <c r="G339" s="225"/>
    </row>
    <row r="340" spans="1:7" ht="15.75">
      <c r="A340" s="214" t="s">
        <v>317</v>
      </c>
      <c r="B340" s="215"/>
      <c r="C340" s="218">
        <v>12744.82</v>
      </c>
      <c r="D340" s="223"/>
      <c r="E340" s="223"/>
      <c r="F340" s="225"/>
      <c r="G340" s="225"/>
    </row>
    <row r="341" spans="1:7" ht="15.75">
      <c r="A341" s="226" t="s">
        <v>318</v>
      </c>
      <c r="B341" s="226"/>
      <c r="C341" s="218">
        <v>28113.25</v>
      </c>
      <c r="D341" s="223"/>
      <c r="E341" s="223"/>
      <c r="F341" s="225"/>
      <c r="G341" s="225"/>
    </row>
    <row r="342" spans="1:7" ht="15.75">
      <c r="A342" s="219"/>
      <c r="B342" s="219"/>
      <c r="C342" s="220"/>
      <c r="D342" s="223"/>
      <c r="E342" s="223"/>
      <c r="F342" s="225"/>
      <c r="G342" s="225"/>
    </row>
    <row r="343" spans="1:7" ht="15.75">
      <c r="A343" s="214"/>
      <c r="B343" s="221" t="s">
        <v>314</v>
      </c>
      <c r="C343" s="218">
        <f>SUM(C339:C342)</f>
        <v>41987.020000000004</v>
      </c>
      <c r="D343" s="223"/>
      <c r="E343" s="223"/>
      <c r="F343" s="225"/>
      <c r="G343" s="225"/>
    </row>
    <row r="344" spans="1:7" ht="15.75">
      <c r="A344" s="222"/>
      <c r="B344" s="227"/>
      <c r="C344" s="224"/>
      <c r="D344" s="223"/>
      <c r="E344" s="223"/>
      <c r="F344" s="225"/>
      <c r="G344" s="225"/>
    </row>
    <row r="345" spans="1:7" ht="15.75">
      <c r="A345" s="228" t="s">
        <v>319</v>
      </c>
      <c r="B345" s="228"/>
      <c r="C345" s="228"/>
      <c r="D345" s="228"/>
      <c r="E345" s="228"/>
      <c r="F345" s="228"/>
      <c r="G345" s="228"/>
    </row>
    <row r="346" spans="1:8" s="234" customFormat="1" ht="40.5" customHeight="1">
      <c r="A346" s="235" t="s">
        <v>320</v>
      </c>
      <c r="B346" s="236"/>
      <c r="C346" s="236"/>
      <c r="D346" s="236"/>
      <c r="E346" s="236"/>
      <c r="F346" s="236"/>
      <c r="G346" s="236"/>
      <c r="H346" s="236"/>
    </row>
    <row r="347" spans="1:7" ht="15.75">
      <c r="A347" s="214" t="s">
        <v>321</v>
      </c>
      <c r="B347" s="215"/>
      <c r="C347" s="218">
        <v>0</v>
      </c>
      <c r="D347" s="215"/>
      <c r="E347" s="215"/>
      <c r="F347" s="217"/>
      <c r="G347" s="217"/>
    </row>
    <row r="348" spans="1:7" ht="15.75">
      <c r="A348" s="214" t="s">
        <v>322</v>
      </c>
      <c r="B348" s="215"/>
      <c r="C348" s="218">
        <v>0</v>
      </c>
      <c r="D348" s="215"/>
      <c r="E348" s="215"/>
      <c r="F348" s="217"/>
      <c r="G348" s="217"/>
    </row>
    <row r="349" spans="1:7" ht="15.75">
      <c r="A349" s="214" t="s">
        <v>323</v>
      </c>
      <c r="B349" s="215"/>
      <c r="C349" s="218">
        <v>177.43</v>
      </c>
      <c r="D349" s="215"/>
      <c r="E349" s="215"/>
      <c r="F349" s="217"/>
      <c r="G349" s="217"/>
    </row>
    <row r="350" spans="1:7" ht="15.75">
      <c r="A350" s="214" t="s">
        <v>324</v>
      </c>
      <c r="B350" s="215"/>
      <c r="C350" s="218">
        <v>0</v>
      </c>
      <c r="D350" s="215"/>
      <c r="E350" s="215"/>
      <c r="F350" s="217"/>
      <c r="G350" s="217"/>
    </row>
    <row r="351" spans="1:7" ht="15.75">
      <c r="A351" s="214" t="s">
        <v>325</v>
      </c>
      <c r="B351" s="215"/>
      <c r="C351" s="218">
        <v>152.7</v>
      </c>
      <c r="D351" s="215"/>
      <c r="E351" s="215"/>
      <c r="F351" s="217"/>
      <c r="G351" s="217"/>
    </row>
    <row r="352" spans="1:7" ht="15.75">
      <c r="A352" s="214" t="s">
        <v>326</v>
      </c>
      <c r="B352" s="215"/>
      <c r="C352" s="218">
        <v>12608.4</v>
      </c>
      <c r="D352" s="215"/>
      <c r="E352" s="215"/>
      <c r="F352" s="217"/>
      <c r="G352" s="217"/>
    </row>
    <row r="353" spans="1:7" ht="15.75">
      <c r="A353" s="214" t="s">
        <v>327</v>
      </c>
      <c r="B353" s="215"/>
      <c r="C353" s="218">
        <v>0</v>
      </c>
      <c r="D353" s="215"/>
      <c r="E353" s="215"/>
      <c r="F353" s="217"/>
      <c r="G353" s="217"/>
    </row>
    <row r="354" spans="1:7" ht="15.75">
      <c r="A354" s="214" t="s">
        <v>328</v>
      </c>
      <c r="B354" s="215"/>
      <c r="C354" s="218">
        <v>1463.65</v>
      </c>
      <c r="D354" s="215"/>
      <c r="E354" s="215"/>
      <c r="F354" s="217"/>
      <c r="G354" s="217"/>
    </row>
    <row r="355" spans="1:7" ht="15.75">
      <c r="A355" s="214" t="s">
        <v>329</v>
      </c>
      <c r="B355" s="215"/>
      <c r="C355" s="218">
        <v>5159.93</v>
      </c>
      <c r="D355" s="215"/>
      <c r="E355" s="215"/>
      <c r="F355" s="217"/>
      <c r="G355" s="217"/>
    </row>
    <row r="356" spans="1:7" ht="15.75">
      <c r="A356" s="214" t="s">
        <v>330</v>
      </c>
      <c r="B356" s="215"/>
      <c r="C356" s="218">
        <v>248.79</v>
      </c>
      <c r="D356" s="215"/>
      <c r="E356" s="215"/>
      <c r="F356" s="217"/>
      <c r="G356" s="217"/>
    </row>
    <row r="357" spans="1:7" ht="15.75">
      <c r="A357" s="214" t="s">
        <v>331</v>
      </c>
      <c r="B357" s="215"/>
      <c r="C357" s="218">
        <v>705.78</v>
      </c>
      <c r="D357" s="215"/>
      <c r="E357" s="215"/>
      <c r="F357" s="217"/>
      <c r="G357" s="217"/>
    </row>
    <row r="358" spans="1:7" ht="15.75">
      <c r="A358" s="214" t="s">
        <v>332</v>
      </c>
      <c r="B358" s="215"/>
      <c r="C358" s="218">
        <v>2688.42</v>
      </c>
      <c r="D358" s="215"/>
      <c r="E358" s="215"/>
      <c r="F358" s="217"/>
      <c r="G358" s="217"/>
    </row>
    <row r="359" spans="1:7" ht="15.75">
      <c r="A359" s="214" t="s">
        <v>333</v>
      </c>
      <c r="B359" s="215"/>
      <c r="C359" s="218">
        <v>2.02</v>
      </c>
      <c r="D359" s="215"/>
      <c r="E359" s="215"/>
      <c r="F359" s="217"/>
      <c r="G359" s="217"/>
    </row>
    <row r="360" spans="1:7" ht="15.75">
      <c r="A360" s="214" t="s">
        <v>334</v>
      </c>
      <c r="B360" s="215"/>
      <c r="C360" s="218">
        <v>13058.33</v>
      </c>
      <c r="D360" s="215"/>
      <c r="E360" s="215"/>
      <c r="F360" s="217"/>
      <c r="G360" s="217"/>
    </row>
    <row r="361" spans="1:7" ht="15.75">
      <c r="A361" s="214" t="s">
        <v>335</v>
      </c>
      <c r="B361" s="215"/>
      <c r="C361" s="218">
        <v>2466.86</v>
      </c>
      <c r="D361" s="215"/>
      <c r="E361" s="215"/>
      <c r="F361" s="217"/>
      <c r="G361" s="217"/>
    </row>
    <row r="362" spans="1:7" ht="15.75">
      <c r="A362" s="214" t="s">
        <v>336</v>
      </c>
      <c r="B362" s="215"/>
      <c r="C362" s="218">
        <v>0</v>
      </c>
      <c r="D362" s="215"/>
      <c r="E362" s="215"/>
      <c r="F362" s="217"/>
      <c r="G362" s="217"/>
    </row>
    <row r="363" spans="1:7" ht="15.75">
      <c r="A363" s="214" t="s">
        <v>337</v>
      </c>
      <c r="B363" s="215"/>
      <c r="C363" s="218">
        <v>4977.11</v>
      </c>
      <c r="D363" s="215"/>
      <c r="E363" s="215"/>
      <c r="F363" s="217"/>
      <c r="G363" s="217"/>
    </row>
    <row r="364" spans="1:7" ht="15.75">
      <c r="A364" s="214" t="s">
        <v>338</v>
      </c>
      <c r="B364" s="215"/>
      <c r="C364" s="218">
        <v>35613.74</v>
      </c>
      <c r="D364" s="215"/>
      <c r="E364" s="215"/>
      <c r="F364" s="217"/>
      <c r="G364" s="217"/>
    </row>
    <row r="365" spans="1:7" ht="15.75">
      <c r="A365" s="214" t="s">
        <v>339</v>
      </c>
      <c r="B365" s="215"/>
      <c r="C365" s="218">
        <v>0</v>
      </c>
      <c r="D365" s="215"/>
      <c r="E365" s="215"/>
      <c r="F365" s="217"/>
      <c r="G365" s="217"/>
    </row>
    <row r="366" spans="1:7" ht="15.75">
      <c r="A366" s="229" t="s">
        <v>340</v>
      </c>
      <c r="B366" s="230"/>
      <c r="C366" s="220">
        <v>65428.73</v>
      </c>
      <c r="D366" s="215"/>
      <c r="E366" s="215"/>
      <c r="F366" s="217"/>
      <c r="G366" s="217"/>
    </row>
    <row r="367" spans="1:7" ht="15.75">
      <c r="A367" s="214"/>
      <c r="B367" s="221" t="s">
        <v>314</v>
      </c>
      <c r="C367" s="218">
        <f>SUM(C347:C366)</f>
        <v>144751.89</v>
      </c>
      <c r="D367" s="215"/>
      <c r="E367" s="215"/>
      <c r="F367" s="217"/>
      <c r="G367" s="217"/>
    </row>
    <row r="368" spans="1:7" ht="15.75">
      <c r="A368" s="222"/>
      <c r="B368" s="223"/>
      <c r="C368" s="223"/>
      <c r="D368" s="223"/>
      <c r="E368" s="223"/>
      <c r="F368" s="225"/>
      <c r="G368" s="225"/>
    </row>
    <row r="369" spans="1:7" ht="15.75">
      <c r="A369" s="228" t="s">
        <v>341</v>
      </c>
      <c r="B369" s="228"/>
      <c r="C369" s="228"/>
      <c r="D369" s="228"/>
      <c r="E369" s="228"/>
      <c r="F369" s="228"/>
      <c r="G369" s="228"/>
    </row>
    <row r="370" spans="1:8" s="234" customFormat="1" ht="35.25" customHeight="1">
      <c r="A370" s="235" t="s">
        <v>342</v>
      </c>
      <c r="B370" s="236"/>
      <c r="C370" s="236"/>
      <c r="D370" s="236"/>
      <c r="E370" s="236"/>
      <c r="F370" s="236"/>
      <c r="G370" s="236"/>
      <c r="H370" s="236"/>
    </row>
    <row r="371" spans="1:7" ht="15.75">
      <c r="A371" s="228" t="s">
        <v>343</v>
      </c>
      <c r="B371" s="228"/>
      <c r="C371" s="228"/>
      <c r="D371" s="228"/>
      <c r="E371" s="228"/>
      <c r="F371" s="228"/>
      <c r="G371" s="228"/>
    </row>
    <row r="372" spans="1:7" ht="15.75">
      <c r="A372" s="214" t="s">
        <v>344</v>
      </c>
      <c r="B372" s="215"/>
      <c r="C372" s="215"/>
      <c r="D372" s="215"/>
      <c r="E372" s="215"/>
      <c r="F372" s="217"/>
      <c r="G372" s="217"/>
    </row>
    <row r="373" spans="1:7" ht="15.75">
      <c r="A373" s="231" t="s">
        <v>345</v>
      </c>
      <c r="B373" s="231"/>
      <c r="C373" s="231"/>
      <c r="D373" s="231"/>
      <c r="E373" s="231"/>
      <c r="F373" s="231"/>
      <c r="G373" s="231"/>
    </row>
    <row r="374" spans="1:8" s="234" customFormat="1" ht="39" customHeight="1">
      <c r="A374" s="237" t="s">
        <v>346</v>
      </c>
      <c r="B374" s="236"/>
      <c r="C374" s="236"/>
      <c r="D374" s="236"/>
      <c r="E374" s="236"/>
      <c r="F374" s="236"/>
      <c r="G374" s="236"/>
      <c r="H374" s="236"/>
    </row>
    <row r="375" spans="1:7" ht="15.75">
      <c r="A375" s="215" t="s">
        <v>347</v>
      </c>
      <c r="B375" s="215"/>
      <c r="C375" s="215"/>
      <c r="D375" s="215"/>
      <c r="E375" s="215"/>
      <c r="F375" s="217"/>
      <c r="G375" s="217"/>
    </row>
    <row r="376" spans="1:7" ht="15.75">
      <c r="A376" s="9"/>
      <c r="B376" s="9"/>
      <c r="C376" s="9"/>
      <c r="D376" s="9"/>
      <c r="E376" s="9"/>
      <c r="F376" s="10"/>
      <c r="G376" s="10"/>
    </row>
    <row r="377" spans="1:7" ht="15.75">
      <c r="A377" s="232" t="s">
        <v>348</v>
      </c>
      <c r="B377" s="232"/>
      <c r="C377" s="232"/>
      <c r="D377" s="232"/>
      <c r="E377" s="232"/>
      <c r="F377" s="232"/>
      <c r="G377" s="232"/>
    </row>
    <row r="378" spans="1:7" ht="15.75">
      <c r="A378" s="9"/>
      <c r="B378" s="9"/>
      <c r="C378" s="9"/>
      <c r="D378" s="9"/>
      <c r="E378" s="9"/>
      <c r="F378" s="10"/>
      <c r="G378" s="10"/>
    </row>
    <row r="379" spans="1:7" ht="15.75">
      <c r="A379" s="215" t="s">
        <v>353</v>
      </c>
      <c r="B379" s="215"/>
      <c r="C379" s="9"/>
      <c r="D379" s="9"/>
      <c r="E379" s="9" t="s">
        <v>349</v>
      </c>
      <c r="F379" s="10"/>
      <c r="G379" s="10"/>
    </row>
    <row r="380" spans="1:7" ht="15.75">
      <c r="A380" s="215" t="s">
        <v>350</v>
      </c>
      <c r="B380" s="215"/>
      <c r="C380" s="9"/>
      <c r="D380" s="9"/>
      <c r="E380" s="9" t="s">
        <v>351</v>
      </c>
      <c r="F380" s="10"/>
      <c r="G380" s="10"/>
    </row>
    <row r="381" spans="1:7" ht="15.75">
      <c r="A381" s="9" t="s">
        <v>352</v>
      </c>
      <c r="B381" s="9"/>
      <c r="C381" s="9"/>
      <c r="D381" s="9"/>
      <c r="E381" s="9"/>
      <c r="F381" s="10"/>
      <c r="G381" s="10"/>
    </row>
    <row r="382" spans="1:7" ht="15">
      <c r="A382" s="233"/>
      <c r="B382" s="233"/>
      <c r="C382" s="233"/>
      <c r="D382" s="233"/>
      <c r="E382" s="233"/>
      <c r="F382" s="233"/>
      <c r="G382" s="233"/>
    </row>
  </sheetData>
  <mergeCells count="30">
    <mergeCell ref="A377:G377"/>
    <mergeCell ref="A346:H346"/>
    <mergeCell ref="A370:H370"/>
    <mergeCell ref="A374:H374"/>
    <mergeCell ref="A329:G329"/>
    <mergeCell ref="A345:G345"/>
    <mergeCell ref="A369:G369"/>
    <mergeCell ref="A371:G371"/>
    <mergeCell ref="A373:G373"/>
    <mergeCell ref="A21:B21"/>
    <mergeCell ref="A1:G1"/>
    <mergeCell ref="A3:G3"/>
    <mergeCell ref="A4:G4"/>
    <mergeCell ref="A6:G6"/>
    <mergeCell ref="A10:G10"/>
    <mergeCell ref="A15:B15"/>
    <mergeCell ref="A16:B16"/>
    <mergeCell ref="A17:B17"/>
    <mergeCell ref="A18:B18"/>
    <mergeCell ref="A19:B19"/>
    <mergeCell ref="A20:B20"/>
    <mergeCell ref="A32:G32"/>
    <mergeCell ref="A33:G33"/>
    <mergeCell ref="A316:G316"/>
    <mergeCell ref="A22:B22"/>
    <mergeCell ref="A23:B23"/>
    <mergeCell ref="A24:B24"/>
    <mergeCell ref="A26:G26"/>
    <mergeCell ref="A30:G30"/>
    <mergeCell ref="A31:G3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OGB</dc:creator>
  <cp:keywords/>
  <dc:description/>
  <cp:lastModifiedBy>OPCINA GORNJI BOGICEVCI</cp:lastModifiedBy>
  <cp:lastPrinted>2023-09-29T10:18:29Z</cp:lastPrinted>
  <dcterms:created xsi:type="dcterms:W3CDTF">2023-09-29T09:23:55Z</dcterms:created>
  <dcterms:modified xsi:type="dcterms:W3CDTF">2023-09-29T10:21:13Z</dcterms:modified>
  <cp:category/>
  <cp:version/>
  <cp:contentType/>
  <cp:contentStatus/>
</cp:coreProperties>
</file>